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k11\alaketola$\Documents\Liitetiedostot\"/>
    </mc:Choice>
  </mc:AlternateContent>
  <xr:revisionPtr revIDLastSave="0" documentId="8_{A2574956-EC50-40FE-92AD-FC57849356D0}" xr6:coauthVersionLast="47" xr6:coauthVersionMax="47" xr10:uidLastSave="{00000000-0000-0000-0000-000000000000}"/>
  <bookViews>
    <workbookView xWindow="-110" yWindow="-110" windowWidth="19420" windowHeight="10300" xr2:uid="{42FFF90D-598F-48A7-AB87-95242D4C423C}"/>
  </bookViews>
  <sheets>
    <sheet name="Kansilehti" sheetId="6" r:id="rId1"/>
    <sheet name="Kohteen järjes. kannattavuus" sheetId="3" r:id="rId2"/>
    <sheet name="IVLP 20v kannattavuus" sheetId="9" r:id="rId3"/>
    <sheet name="MLP 25v kannattavuus" sheetId="8" r:id="rId4"/>
    <sheet name="PV 30v kannattavuus 10" sheetId="11" r:id="rId5"/>
    <sheet name="PV 30v kannattavuus 20"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2" l="1"/>
  <c r="F16" i="11"/>
  <c r="D19" i="8"/>
  <c r="D19" i="9"/>
  <c r="F11" i="12"/>
  <c r="F10" i="12"/>
  <c r="F11" i="11"/>
  <c r="F10" i="11"/>
  <c r="D9" i="8"/>
  <c r="D9" i="9"/>
  <c r="D28" i="8" l="1"/>
  <c r="D28" i="9"/>
  <c r="H38" i="8" l="1"/>
  <c r="F38" i="8"/>
  <c r="F38" i="9"/>
  <c r="H38" i="9"/>
  <c r="G38" i="9"/>
  <c r="D25" i="8" l="1"/>
  <c r="D11" i="8"/>
  <c r="D11" i="9"/>
  <c r="H44" i="12" l="1"/>
  <c r="G38" i="8"/>
  <c r="E38" i="9"/>
  <c r="E39" i="9" s="1"/>
  <c r="E38" i="8"/>
  <c r="E44" i="11"/>
  <c r="E44" i="12"/>
  <c r="F44" i="12"/>
  <c r="G39" i="9" l="1"/>
  <c r="F39" i="9"/>
  <c r="H39" i="9" s="1"/>
  <c r="H44" i="11"/>
  <c r="E45" i="11" s="1"/>
  <c r="G45" i="11" s="1"/>
  <c r="F44" i="11"/>
  <c r="D75" i="8"/>
  <c r="I38" i="8" s="1"/>
  <c r="D70" i="9"/>
  <c r="I38" i="9" s="1"/>
  <c r="D25" i="9"/>
  <c r="F27" i="12" l="1"/>
  <c r="F24" i="12"/>
  <c r="D13" i="8" l="1"/>
  <c r="D26" i="8" s="1"/>
  <c r="D13" i="9"/>
  <c r="D26" i="9" s="1"/>
  <c r="J18" i="3" l="1"/>
  <c r="F12" i="11"/>
  <c r="J22" i="3" l="1"/>
  <c r="J58" i="12"/>
  <c r="J59" i="12"/>
  <c r="J58" i="11"/>
  <c r="J59" i="11"/>
  <c r="I27" i="3" l="1"/>
  <c r="B27" i="3"/>
  <c r="B18" i="3" l="1"/>
  <c r="F28" i="12" l="1"/>
  <c r="B114" i="12"/>
  <c r="F113" i="12"/>
  <c r="F112" i="12"/>
  <c r="F111" i="12"/>
  <c r="F110" i="12"/>
  <c r="F109" i="12"/>
  <c r="F108" i="12"/>
  <c r="F107" i="12"/>
  <c r="F106" i="12"/>
  <c r="F105" i="12"/>
  <c r="F104" i="12"/>
  <c r="F103" i="12"/>
  <c r="F102" i="12"/>
  <c r="D98" i="12"/>
  <c r="G109" i="12" s="1"/>
  <c r="J74" i="12"/>
  <c r="K74" i="12" s="1"/>
  <c r="J73" i="12"/>
  <c r="K73" i="12" s="1"/>
  <c r="J72" i="12"/>
  <c r="K72" i="12" s="1"/>
  <c r="J71" i="12"/>
  <c r="K71" i="12" s="1"/>
  <c r="J70" i="12"/>
  <c r="K70" i="12" s="1"/>
  <c r="J69" i="12"/>
  <c r="K69" i="12" s="1"/>
  <c r="J68" i="12"/>
  <c r="K68" i="12" s="1"/>
  <c r="J67" i="12"/>
  <c r="K67" i="12" s="1"/>
  <c r="J66" i="12"/>
  <c r="K66" i="12" s="1"/>
  <c r="J65" i="12"/>
  <c r="K65" i="12" s="1"/>
  <c r="J64" i="12"/>
  <c r="J63" i="12"/>
  <c r="J62" i="12"/>
  <c r="J61" i="12"/>
  <c r="J60" i="12"/>
  <c r="J57" i="12"/>
  <c r="J56" i="12"/>
  <c r="J55" i="12"/>
  <c r="J54" i="12"/>
  <c r="J53" i="12"/>
  <c r="J52" i="12"/>
  <c r="J51" i="12"/>
  <c r="J50" i="12"/>
  <c r="J49" i="12"/>
  <c r="J48" i="12"/>
  <c r="J47" i="12"/>
  <c r="J46" i="12"/>
  <c r="L45" i="12"/>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J45" i="12"/>
  <c r="R44" i="12"/>
  <c r="F35" i="12"/>
  <c r="F31" i="12"/>
  <c r="F21" i="12"/>
  <c r="D91" i="12" s="1"/>
  <c r="H27" i="3" s="1"/>
  <c r="F19" i="12"/>
  <c r="F14" i="12"/>
  <c r="E111" i="12" s="1"/>
  <c r="I26" i="3"/>
  <c r="B26" i="3"/>
  <c r="G108" i="12" l="1"/>
  <c r="G105" i="12"/>
  <c r="J27" i="3"/>
  <c r="I44" i="12"/>
  <c r="K44" i="12" s="1"/>
  <c r="O44" i="12" s="1"/>
  <c r="E45" i="12"/>
  <c r="G45" i="12" s="1"/>
  <c r="B45" i="12"/>
  <c r="M45" i="12" s="1"/>
  <c r="D90" i="12"/>
  <c r="G104" i="12"/>
  <c r="G113" i="12"/>
  <c r="G110" i="12"/>
  <c r="G102" i="12"/>
  <c r="G111" i="12"/>
  <c r="K111" i="12" s="1"/>
  <c r="G107" i="12"/>
  <c r="G103" i="12"/>
  <c r="G112" i="12"/>
  <c r="E105" i="12"/>
  <c r="K105" i="12" s="1"/>
  <c r="C45" i="12"/>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E112" i="12"/>
  <c r="E109" i="12"/>
  <c r="K109" i="12" s="1"/>
  <c r="E106" i="12"/>
  <c r="E113" i="12"/>
  <c r="E104" i="12"/>
  <c r="C113" i="12"/>
  <c r="C112" i="12"/>
  <c r="C104" i="12"/>
  <c r="C111" i="12"/>
  <c r="C103" i="12"/>
  <c r="C109" i="12"/>
  <c r="C108" i="12"/>
  <c r="C110" i="12"/>
  <c r="C107" i="12"/>
  <c r="C102" i="12"/>
  <c r="C105" i="12"/>
  <c r="C106" i="12"/>
  <c r="J75" i="12"/>
  <c r="E107" i="12"/>
  <c r="G106" i="12"/>
  <c r="E108" i="12"/>
  <c r="K108" i="12" s="1"/>
  <c r="E102" i="12"/>
  <c r="K102" i="12" s="1"/>
  <c r="E110" i="12"/>
  <c r="K110" i="12" s="1"/>
  <c r="E103" i="12"/>
  <c r="K103" i="12" s="1"/>
  <c r="F103" i="11"/>
  <c r="F104" i="11"/>
  <c r="F105" i="11"/>
  <c r="F106" i="11"/>
  <c r="F107" i="11"/>
  <c r="F108" i="11"/>
  <c r="F109" i="11"/>
  <c r="F110" i="11"/>
  <c r="F111" i="11"/>
  <c r="F112" i="11"/>
  <c r="F113" i="11"/>
  <c r="F102" i="11"/>
  <c r="F31" i="11"/>
  <c r="I44" i="11" s="1"/>
  <c r="B114" i="11"/>
  <c r="C113" i="11"/>
  <c r="C112" i="11"/>
  <c r="C111" i="11"/>
  <c r="C110" i="11"/>
  <c r="C109" i="11"/>
  <c r="C108" i="11"/>
  <c r="C107" i="11"/>
  <c r="C106" i="11"/>
  <c r="C105" i="11"/>
  <c r="C104" i="11"/>
  <c r="C103" i="11"/>
  <c r="C102" i="11"/>
  <c r="D98" i="11"/>
  <c r="G113" i="11" s="1"/>
  <c r="J74" i="11"/>
  <c r="K74" i="11" s="1"/>
  <c r="J72" i="11"/>
  <c r="K72" i="11" s="1"/>
  <c r="J66" i="11"/>
  <c r="K66" i="11" s="1"/>
  <c r="L45" i="1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R44" i="11"/>
  <c r="J70" i="11"/>
  <c r="K70" i="11" s="1"/>
  <c r="F35" i="11"/>
  <c r="F21" i="11"/>
  <c r="F19" i="11"/>
  <c r="F14" i="11"/>
  <c r="E112" i="11" s="1"/>
  <c r="J63" i="8"/>
  <c r="J62" i="8"/>
  <c r="J61" i="8"/>
  <c r="K61" i="8" s="1"/>
  <c r="J60" i="8"/>
  <c r="J59" i="8"/>
  <c r="J58" i="8"/>
  <c r="J57" i="8"/>
  <c r="J56" i="8"/>
  <c r="J55" i="8"/>
  <c r="J54" i="8"/>
  <c r="J53" i="8"/>
  <c r="J52" i="8"/>
  <c r="J51" i="8"/>
  <c r="J50" i="8"/>
  <c r="J49" i="8"/>
  <c r="J48" i="8"/>
  <c r="J47" i="8"/>
  <c r="J46" i="8"/>
  <c r="J45" i="8"/>
  <c r="J44" i="8"/>
  <c r="J43" i="8"/>
  <c r="J42" i="8"/>
  <c r="J41" i="8"/>
  <c r="J40" i="8"/>
  <c r="J39" i="8"/>
  <c r="Q38" i="8"/>
  <c r="O38" i="8"/>
  <c r="E39" i="8"/>
  <c r="G39" i="8" s="1"/>
  <c r="C103" i="8"/>
  <c r="F39" i="8" l="1"/>
  <c r="H39" i="8" s="1"/>
  <c r="F45" i="12"/>
  <c r="H45" i="12" s="1"/>
  <c r="E46" i="12" s="1"/>
  <c r="G46" i="12" s="1"/>
  <c r="F45" i="11"/>
  <c r="H45" i="11" s="1"/>
  <c r="B46" i="12"/>
  <c r="D46" i="12" s="1"/>
  <c r="J26" i="3"/>
  <c r="K59" i="8"/>
  <c r="K63" i="8"/>
  <c r="J64" i="8"/>
  <c r="K112" i="12"/>
  <c r="D45" i="12"/>
  <c r="N45" i="12" s="1"/>
  <c r="G114" i="12"/>
  <c r="D116" i="12" s="1"/>
  <c r="K107" i="12"/>
  <c r="K104" i="12"/>
  <c r="K113" i="12"/>
  <c r="C106" i="8"/>
  <c r="C105" i="8"/>
  <c r="C104" i="8"/>
  <c r="C101" i="8"/>
  <c r="C109" i="8"/>
  <c r="C100" i="8"/>
  <c r="C102" i="8"/>
  <c r="C98" i="8"/>
  <c r="C108" i="8"/>
  <c r="C99" i="8"/>
  <c r="C107" i="8"/>
  <c r="H111" i="12"/>
  <c r="I111" i="12" s="1"/>
  <c r="L111" i="12" s="1"/>
  <c r="H105" i="12"/>
  <c r="I105" i="12" s="1"/>
  <c r="L105" i="12" s="1"/>
  <c r="H104" i="12"/>
  <c r="I104" i="12" s="1"/>
  <c r="L104" i="12" s="1"/>
  <c r="H106" i="12"/>
  <c r="I106" i="12" s="1"/>
  <c r="L106" i="12" s="1"/>
  <c r="C114" i="12"/>
  <c r="H102" i="12"/>
  <c r="J102" i="12" s="1"/>
  <c r="H112" i="12"/>
  <c r="I112" i="12" s="1"/>
  <c r="L112" i="12" s="1"/>
  <c r="E83" i="12"/>
  <c r="H107" i="12"/>
  <c r="I107" i="12" s="1"/>
  <c r="L107" i="12" s="1"/>
  <c r="H113" i="12"/>
  <c r="I113" i="12" s="1"/>
  <c r="L113" i="12" s="1"/>
  <c r="H110" i="12"/>
  <c r="I110" i="12" s="1"/>
  <c r="L110" i="12" s="1"/>
  <c r="K106" i="12"/>
  <c r="H108" i="12"/>
  <c r="I108" i="12" s="1"/>
  <c r="L108" i="12" s="1"/>
  <c r="H109" i="12"/>
  <c r="I109" i="12" s="1"/>
  <c r="L109" i="12" s="1"/>
  <c r="H103" i="12"/>
  <c r="I103" i="12" s="1"/>
  <c r="L103" i="12" s="1"/>
  <c r="C114" i="11"/>
  <c r="E108" i="11"/>
  <c r="C45" i="1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E105" i="11"/>
  <c r="E109" i="11"/>
  <c r="E113" i="11"/>
  <c r="K113" i="11" s="1"/>
  <c r="E107" i="11"/>
  <c r="E104" i="11"/>
  <c r="E102" i="11"/>
  <c r="E106" i="11"/>
  <c r="E110" i="11"/>
  <c r="E103" i="11"/>
  <c r="E111" i="11"/>
  <c r="F28" i="11"/>
  <c r="D90" i="11"/>
  <c r="B45" i="11"/>
  <c r="D91" i="11"/>
  <c r="H26" i="3" s="1"/>
  <c r="H113" i="11"/>
  <c r="I113" i="11" s="1"/>
  <c r="L113" i="11" s="1"/>
  <c r="J73" i="11"/>
  <c r="K73" i="11" s="1"/>
  <c r="J71" i="11"/>
  <c r="K71" i="11" s="1"/>
  <c r="J69" i="11"/>
  <c r="K69" i="11" s="1"/>
  <c r="J67" i="11"/>
  <c r="K67" i="11" s="1"/>
  <c r="J65" i="11"/>
  <c r="K65" i="11" s="1"/>
  <c r="J63" i="11"/>
  <c r="J62" i="11"/>
  <c r="J61" i="11"/>
  <c r="J60" i="11"/>
  <c r="J57" i="11"/>
  <c r="J56" i="11"/>
  <c r="J55" i="11"/>
  <c r="J54" i="11"/>
  <c r="J53" i="11"/>
  <c r="J52" i="11"/>
  <c r="J51" i="11"/>
  <c r="J50" i="11"/>
  <c r="J49" i="11"/>
  <c r="J48" i="11"/>
  <c r="J47" i="11"/>
  <c r="J46" i="11"/>
  <c r="J45" i="11"/>
  <c r="J64" i="11"/>
  <c r="J68" i="11"/>
  <c r="K68" i="11" s="1"/>
  <c r="G102" i="11"/>
  <c r="G103" i="11"/>
  <c r="G104" i="11"/>
  <c r="G105" i="11"/>
  <c r="G106" i="11"/>
  <c r="G107" i="11"/>
  <c r="G108" i="11"/>
  <c r="G109" i="11"/>
  <c r="G110" i="11"/>
  <c r="G111" i="11"/>
  <c r="G112" i="11"/>
  <c r="K60" i="8"/>
  <c r="K62" i="8"/>
  <c r="Q39" i="8"/>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K45" i="12" l="1"/>
  <c r="O45" i="12" s="1"/>
  <c r="F46" i="12"/>
  <c r="H46" i="12" s="1"/>
  <c r="E47" i="12" s="1"/>
  <c r="G47" i="12" s="1"/>
  <c r="K44" i="11"/>
  <c r="O44" i="11" s="1"/>
  <c r="E46" i="11"/>
  <c r="G46" i="11" s="1"/>
  <c r="K45" i="11"/>
  <c r="B47" i="12"/>
  <c r="D47" i="12" s="1"/>
  <c r="M46" i="12"/>
  <c r="N46" i="12" s="1"/>
  <c r="K114" i="12"/>
  <c r="J108" i="12"/>
  <c r="J107" i="12"/>
  <c r="J106" i="12"/>
  <c r="B48" i="12"/>
  <c r="M47" i="12"/>
  <c r="J103" i="12"/>
  <c r="J112" i="12"/>
  <c r="H114" i="12"/>
  <c r="I102" i="12"/>
  <c r="J105" i="12"/>
  <c r="J113" i="12"/>
  <c r="J111" i="12"/>
  <c r="J109" i="12"/>
  <c r="J110" i="12"/>
  <c r="J104" i="12"/>
  <c r="H105" i="11"/>
  <c r="J105" i="11" s="1"/>
  <c r="K105" i="11"/>
  <c r="M45" i="11"/>
  <c r="D45" i="11"/>
  <c r="B46" i="11"/>
  <c r="H112" i="11"/>
  <c r="J112" i="11" s="1"/>
  <c r="K112" i="11"/>
  <c r="H104" i="11"/>
  <c r="J104" i="11" s="1"/>
  <c r="K104" i="11"/>
  <c r="H111" i="11"/>
  <c r="J111" i="11" s="1"/>
  <c r="K111" i="11"/>
  <c r="H110" i="11"/>
  <c r="J110" i="11" s="1"/>
  <c r="K110" i="11"/>
  <c r="H103" i="11"/>
  <c r="J103" i="11" s="1"/>
  <c r="K103" i="11"/>
  <c r="E83" i="11"/>
  <c r="H109" i="11"/>
  <c r="J109" i="11" s="1"/>
  <c r="K109" i="11"/>
  <c r="H108" i="11"/>
  <c r="J108" i="11" s="1"/>
  <c r="K108" i="11"/>
  <c r="J113" i="11"/>
  <c r="H102" i="11"/>
  <c r="I102" i="11" s="1"/>
  <c r="G114" i="11"/>
  <c r="D116" i="11" s="1"/>
  <c r="K102" i="11"/>
  <c r="J75" i="11"/>
  <c r="H107" i="11"/>
  <c r="J107" i="11" s="1"/>
  <c r="K107" i="11"/>
  <c r="H106" i="11"/>
  <c r="J106" i="11" s="1"/>
  <c r="K106" i="11"/>
  <c r="Q64" i="8"/>
  <c r="P44" i="11" l="1"/>
  <c r="F47" i="12"/>
  <c r="K46" i="12"/>
  <c r="O46" i="12" s="1"/>
  <c r="F46" i="11"/>
  <c r="J114" i="12"/>
  <c r="N47" i="12"/>
  <c r="B49" i="12"/>
  <c r="D48" i="12"/>
  <c r="M48" i="12"/>
  <c r="I114" i="12"/>
  <c r="D117" i="12" s="1"/>
  <c r="L102" i="12"/>
  <c r="L114" i="12" s="1"/>
  <c r="G27" i="3" s="1"/>
  <c r="I110" i="11"/>
  <c r="L110" i="11" s="1"/>
  <c r="I105" i="11"/>
  <c r="L105" i="11" s="1"/>
  <c r="L102" i="11"/>
  <c r="M46" i="11"/>
  <c r="D46" i="11"/>
  <c r="B47" i="11"/>
  <c r="I111" i="11"/>
  <c r="L111" i="11" s="1"/>
  <c r="N45" i="11"/>
  <c r="I103" i="11"/>
  <c r="L103" i="11" s="1"/>
  <c r="I107" i="11"/>
  <c r="L107" i="11" s="1"/>
  <c r="I108" i="11"/>
  <c r="L108" i="11" s="1"/>
  <c r="I104" i="11"/>
  <c r="L104" i="11" s="1"/>
  <c r="I106" i="11"/>
  <c r="L106" i="11" s="1"/>
  <c r="K114" i="11"/>
  <c r="I109" i="11"/>
  <c r="L109" i="11" s="1"/>
  <c r="I112" i="11"/>
  <c r="L112" i="11" s="1"/>
  <c r="H114" i="11"/>
  <c r="J102" i="11"/>
  <c r="J114" i="11" s="1"/>
  <c r="H46" i="11" l="1"/>
  <c r="E47" i="11" s="1"/>
  <c r="G47" i="11" s="1"/>
  <c r="H47" i="12"/>
  <c r="E48" i="12" s="1"/>
  <c r="G48" i="12" s="1"/>
  <c r="K47" i="12"/>
  <c r="O47" i="12" s="1"/>
  <c r="K46" i="11"/>
  <c r="D49" i="12"/>
  <c r="M49" i="12"/>
  <c r="B50" i="12"/>
  <c r="N48" i="12"/>
  <c r="N46" i="11"/>
  <c r="M47" i="11"/>
  <c r="D47" i="11"/>
  <c r="B48" i="11"/>
  <c r="L114" i="11"/>
  <c r="G26" i="3" s="1"/>
  <c r="O45" i="11"/>
  <c r="I114" i="11"/>
  <c r="D117" i="11" s="1"/>
  <c r="F48" i="12" l="1"/>
  <c r="K48" i="12" s="1"/>
  <c r="O48" i="12" s="1"/>
  <c r="F47" i="11"/>
  <c r="K47" i="11" s="1"/>
  <c r="O46" i="11"/>
  <c r="Q46" i="11" s="1"/>
  <c r="R46" i="11" s="1"/>
  <c r="B51" i="12"/>
  <c r="M50" i="12"/>
  <c r="D50" i="12"/>
  <c r="N49" i="12"/>
  <c r="M48" i="11"/>
  <c r="D48" i="11"/>
  <c r="B49" i="11"/>
  <c r="Q45" i="11"/>
  <c r="R45" i="11" s="1"/>
  <c r="P45" i="11"/>
  <c r="N47" i="11"/>
  <c r="H47" i="11" l="1"/>
  <c r="E48" i="11" s="1"/>
  <c r="G48" i="11" s="1"/>
  <c r="P46" i="11"/>
  <c r="H48" i="12"/>
  <c r="E49" i="12" s="1"/>
  <c r="G49" i="12" s="1"/>
  <c r="M51" i="12"/>
  <c r="B52" i="12"/>
  <c r="D51" i="12"/>
  <c r="N50" i="12"/>
  <c r="O47" i="11"/>
  <c r="M49" i="11"/>
  <c r="D49" i="11"/>
  <c r="B50" i="11"/>
  <c r="N48" i="11"/>
  <c r="F49" i="12" l="1"/>
  <c r="K49" i="12" s="1"/>
  <c r="O49" i="12" s="1"/>
  <c r="F48" i="11"/>
  <c r="H48" i="11" s="1"/>
  <c r="N51" i="12"/>
  <c r="D52" i="12"/>
  <c r="M52" i="12"/>
  <c r="B53" i="12"/>
  <c r="N49" i="11"/>
  <c r="Q47" i="11"/>
  <c r="R47" i="11" s="1"/>
  <c r="M50" i="11"/>
  <c r="D50" i="11"/>
  <c r="B51" i="11"/>
  <c r="P47" i="11"/>
  <c r="H49" i="12" l="1"/>
  <c r="E50" i="12" s="1"/>
  <c r="K48" i="11"/>
  <c r="O48" i="11" s="1"/>
  <c r="E49" i="11"/>
  <c r="G49" i="11" s="1"/>
  <c r="D53" i="12"/>
  <c r="B54" i="12"/>
  <c r="M53" i="12"/>
  <c r="N52" i="12"/>
  <c r="N50" i="11"/>
  <c r="M51" i="11"/>
  <c r="D51" i="11"/>
  <c r="B52" i="11"/>
  <c r="G50" i="12" l="1"/>
  <c r="F50" i="12"/>
  <c r="H50" i="12" s="1"/>
  <c r="Q48" i="11"/>
  <c r="R48" i="11" s="1"/>
  <c r="P48" i="11"/>
  <c r="F49" i="11"/>
  <c r="B55" i="12"/>
  <c r="D54" i="12"/>
  <c r="M54" i="12"/>
  <c r="N53" i="12"/>
  <c r="M52" i="11"/>
  <c r="D52" i="11"/>
  <c r="B53" i="11"/>
  <c r="N51" i="11"/>
  <c r="H49" i="11" l="1"/>
  <c r="E50" i="11" s="1"/>
  <c r="G50" i="11" s="1"/>
  <c r="K50" i="12"/>
  <c r="O50" i="12" s="1"/>
  <c r="E51" i="12"/>
  <c r="G51" i="12" s="1"/>
  <c r="K49" i="11"/>
  <c r="O49" i="11" s="1"/>
  <c r="Q49" i="11" s="1"/>
  <c r="R49" i="11" s="1"/>
  <c r="N54" i="12"/>
  <c r="B56" i="12"/>
  <c r="D55" i="12"/>
  <c r="M55" i="12"/>
  <c r="M53" i="11"/>
  <c r="D53" i="11"/>
  <c r="B54" i="11"/>
  <c r="N52" i="11"/>
  <c r="F50" i="11" l="1"/>
  <c r="H50" i="11" s="1"/>
  <c r="F51" i="12"/>
  <c r="H51" i="12" s="1"/>
  <c r="E52" i="12" s="1"/>
  <c r="G52" i="12" s="1"/>
  <c r="P49" i="11"/>
  <c r="N53" i="11"/>
  <c r="N55" i="12"/>
  <c r="B57" i="12"/>
  <c r="D56" i="12"/>
  <c r="M56" i="12"/>
  <c r="M54" i="11"/>
  <c r="D54" i="11"/>
  <c r="B55" i="11"/>
  <c r="K50" i="11" l="1"/>
  <c r="O50" i="11" s="1"/>
  <c r="Q50" i="11" s="1"/>
  <c r="R50" i="11" s="1"/>
  <c r="E51" i="11"/>
  <c r="G51" i="11" s="1"/>
  <c r="K51" i="12"/>
  <c r="O51" i="12" s="1"/>
  <c r="F52" i="12"/>
  <c r="N56" i="12"/>
  <c r="D57" i="12"/>
  <c r="M57" i="12"/>
  <c r="B58" i="12"/>
  <c r="M55" i="11"/>
  <c r="D55" i="11"/>
  <c r="B56" i="11"/>
  <c r="N54" i="11"/>
  <c r="H52" i="12" l="1"/>
  <c r="E53" i="12" s="1"/>
  <c r="G53" i="12" s="1"/>
  <c r="F51" i="11"/>
  <c r="K51" i="11" s="1"/>
  <c r="O51" i="11" s="1"/>
  <c r="Q51" i="11" s="1"/>
  <c r="R51" i="11" s="1"/>
  <c r="P50" i="11"/>
  <c r="K52" i="12"/>
  <c r="O52" i="12" s="1"/>
  <c r="N55" i="11"/>
  <c r="B59" i="12"/>
  <c r="D58" i="12"/>
  <c r="M58" i="12"/>
  <c r="N57" i="12"/>
  <c r="M56" i="11"/>
  <c r="D56" i="11"/>
  <c r="B57" i="11"/>
  <c r="F53" i="12" l="1"/>
  <c r="K53" i="12" s="1"/>
  <c r="O53" i="12" s="1"/>
  <c r="P51" i="11"/>
  <c r="H51" i="11"/>
  <c r="E52" i="11" s="1"/>
  <c r="G52" i="11" s="1"/>
  <c r="N58" i="12"/>
  <c r="B60" i="12"/>
  <c r="D59" i="12"/>
  <c r="M59" i="12"/>
  <c r="N56" i="11"/>
  <c r="M57" i="11"/>
  <c r="D57" i="11"/>
  <c r="B58" i="11"/>
  <c r="H53" i="12" l="1"/>
  <c r="E54" i="12" s="1"/>
  <c r="G54" i="12" s="1"/>
  <c r="F52" i="11"/>
  <c r="H52" i="11" s="1"/>
  <c r="N59" i="12"/>
  <c r="B61" i="12"/>
  <c r="D60" i="12"/>
  <c r="M60" i="12"/>
  <c r="N57" i="11"/>
  <c r="M58" i="11"/>
  <c r="D58" i="11"/>
  <c r="B59" i="11"/>
  <c r="F54" i="12" l="1"/>
  <c r="K54" i="12" s="1"/>
  <c r="O54" i="12" s="1"/>
  <c r="K52" i="11"/>
  <c r="O52" i="11" s="1"/>
  <c r="E53" i="11"/>
  <c r="G53" i="11" s="1"/>
  <c r="N58" i="11"/>
  <c r="B62" i="12"/>
  <c r="M61" i="12"/>
  <c r="D61" i="12"/>
  <c r="N60" i="12"/>
  <c r="M59" i="11"/>
  <c r="D59" i="11"/>
  <c r="B60" i="11"/>
  <c r="H54" i="12" l="1"/>
  <c r="E55" i="12" s="1"/>
  <c r="Q52" i="11"/>
  <c r="R52" i="11" s="1"/>
  <c r="P52" i="11"/>
  <c r="F53" i="11"/>
  <c r="K53" i="11" s="1"/>
  <c r="O53" i="11" s="1"/>
  <c r="N61" i="12"/>
  <c r="N59" i="11"/>
  <c r="D62" i="12"/>
  <c r="M62" i="12"/>
  <c r="B63" i="12"/>
  <c r="M60" i="11"/>
  <c r="D60" i="11"/>
  <c r="B61" i="11"/>
  <c r="N60" i="11" l="1"/>
  <c r="F55" i="12"/>
  <c r="H55" i="12" s="1"/>
  <c r="E56" i="12" s="1"/>
  <c r="G55" i="12"/>
  <c r="H53" i="11"/>
  <c r="E54" i="11" s="1"/>
  <c r="Q53" i="11"/>
  <c r="R53" i="11" s="1"/>
  <c r="P53" i="11"/>
  <c r="N62" i="12"/>
  <c r="M63" i="12"/>
  <c r="B64" i="12"/>
  <c r="D63" i="12"/>
  <c r="M61" i="11"/>
  <c r="D61" i="11"/>
  <c r="B62" i="11"/>
  <c r="F54" i="11" l="1"/>
  <c r="H54" i="11" s="1"/>
  <c r="E55" i="11" s="1"/>
  <c r="G54" i="11"/>
  <c r="F56" i="12"/>
  <c r="H56" i="12" s="1"/>
  <c r="E57" i="12" s="1"/>
  <c r="G57" i="12" s="1"/>
  <c r="G56" i="12"/>
  <c r="K55" i="12"/>
  <c r="O55" i="12" s="1"/>
  <c r="N63" i="12"/>
  <c r="N61" i="11"/>
  <c r="B65" i="12"/>
  <c r="M64" i="12"/>
  <c r="D64" i="12"/>
  <c r="M62" i="11"/>
  <c r="D62" i="11"/>
  <c r="B63" i="11"/>
  <c r="K54" i="11" l="1"/>
  <c r="O54" i="11" s="1"/>
  <c r="Q54" i="11" s="1"/>
  <c r="R54" i="11" s="1"/>
  <c r="F55" i="11"/>
  <c r="H55" i="11" s="1"/>
  <c r="E56" i="11" s="1"/>
  <c r="G55" i="11"/>
  <c r="K56" i="12"/>
  <c r="O56" i="12" s="1"/>
  <c r="F57" i="12"/>
  <c r="H57" i="12" s="1"/>
  <c r="E58" i="12" s="1"/>
  <c r="G58" i="12" s="1"/>
  <c r="N64" i="12"/>
  <c r="N62" i="11"/>
  <c r="M65" i="12"/>
  <c r="B66" i="12"/>
  <c r="D65" i="12"/>
  <c r="M63" i="11"/>
  <c r="D63" i="11"/>
  <c r="B64" i="11"/>
  <c r="P54" i="11" l="1"/>
  <c r="K55" i="11"/>
  <c r="O55" i="11" s="1"/>
  <c r="Q55" i="11" s="1"/>
  <c r="R55" i="11" s="1"/>
  <c r="F56" i="11"/>
  <c r="H56" i="11" s="1"/>
  <c r="E57" i="11" s="1"/>
  <c r="G57" i="11" s="1"/>
  <c r="G56" i="11"/>
  <c r="K57" i="12"/>
  <c r="O57" i="12" s="1"/>
  <c r="F58" i="12"/>
  <c r="H58" i="12" s="1"/>
  <c r="E59" i="12" s="1"/>
  <c r="G59" i="12" s="1"/>
  <c r="N65" i="12"/>
  <c r="O65" i="12" s="1"/>
  <c r="B67" i="12"/>
  <c r="M66" i="12"/>
  <c r="D66" i="12"/>
  <c r="D64" i="11"/>
  <c r="B65" i="11"/>
  <c r="M64" i="11"/>
  <c r="N63" i="11"/>
  <c r="P55" i="11" l="1"/>
  <c r="K56" i="11"/>
  <c r="O56" i="11" s="1"/>
  <c r="Q56" i="11" s="1"/>
  <c r="R56" i="11" s="1"/>
  <c r="F57" i="11"/>
  <c r="H57" i="11" s="1"/>
  <c r="E58" i="11" s="1"/>
  <c r="G58" i="11" s="1"/>
  <c r="K58" i="12"/>
  <c r="O58" i="12" s="1"/>
  <c r="F59" i="12"/>
  <c r="H59" i="12" s="1"/>
  <c r="E60" i="12" s="1"/>
  <c r="G60" i="12" s="1"/>
  <c r="N66" i="12"/>
  <c r="O66" i="12" s="1"/>
  <c r="B68" i="12"/>
  <c r="D67" i="12"/>
  <c r="M67" i="12"/>
  <c r="M65" i="11"/>
  <c r="B66" i="11"/>
  <c r="D65" i="11"/>
  <c r="N64" i="11"/>
  <c r="F58" i="11" l="1"/>
  <c r="K58" i="11" s="1"/>
  <c r="O58" i="11" s="1"/>
  <c r="K57" i="11"/>
  <c r="O57" i="11" s="1"/>
  <c r="Q57" i="11" s="1"/>
  <c r="R57" i="11" s="1"/>
  <c r="P56" i="11"/>
  <c r="K59" i="12"/>
  <c r="O59" i="12" s="1"/>
  <c r="F60" i="12"/>
  <c r="H60" i="12" s="1"/>
  <c r="E61" i="12" s="1"/>
  <c r="G61" i="12" s="1"/>
  <c r="H58" i="11"/>
  <c r="E59" i="11" s="1"/>
  <c r="G59" i="11" s="1"/>
  <c r="N67" i="12"/>
  <c r="O67" i="12" s="1"/>
  <c r="B69" i="12"/>
  <c r="D68" i="12"/>
  <c r="M68" i="12"/>
  <c r="N65" i="11"/>
  <c r="O65" i="11" s="1"/>
  <c r="D66" i="11"/>
  <c r="M66" i="11"/>
  <c r="B67" i="11"/>
  <c r="P57" i="11" l="1"/>
  <c r="P58" i="11" s="1"/>
  <c r="K60" i="12"/>
  <c r="O60" i="12" s="1"/>
  <c r="F59" i="11"/>
  <c r="H59" i="11"/>
  <c r="F61" i="12"/>
  <c r="H61" i="12" s="1"/>
  <c r="E62" i="12" s="1"/>
  <c r="G62" i="12" s="1"/>
  <c r="Q58" i="11"/>
  <c r="R58" i="11" s="1"/>
  <c r="N68" i="12"/>
  <c r="O68" i="12" s="1"/>
  <c r="B70" i="12"/>
  <c r="D69" i="12"/>
  <c r="M69" i="12"/>
  <c r="M67" i="11"/>
  <c r="B68" i="11"/>
  <c r="D67" i="11"/>
  <c r="N66" i="11"/>
  <c r="O66" i="11" s="1"/>
  <c r="K59" i="11" l="1"/>
  <c r="O59" i="11" s="1"/>
  <c r="Q59" i="11" s="1"/>
  <c r="R59" i="11" s="1"/>
  <c r="E60" i="11"/>
  <c r="F62" i="12"/>
  <c r="K61" i="12"/>
  <c r="O61" i="12" s="1"/>
  <c r="N69" i="12"/>
  <c r="O69" i="12" s="1"/>
  <c r="B71" i="12"/>
  <c r="M70" i="12"/>
  <c r="D70" i="12"/>
  <c r="N67" i="11"/>
  <c r="O67" i="11" s="1"/>
  <c r="D68" i="11"/>
  <c r="B69" i="11"/>
  <c r="M68" i="11"/>
  <c r="F60" i="11" l="1"/>
  <c r="G60" i="11"/>
  <c r="P59" i="11"/>
  <c r="H60" i="11"/>
  <c r="E61" i="11" s="1"/>
  <c r="K62" i="12"/>
  <c r="O62" i="12" s="1"/>
  <c r="H62" i="12"/>
  <c r="E63" i="12" s="1"/>
  <c r="G63" i="12" s="1"/>
  <c r="N70" i="12"/>
  <c r="O70" i="12" s="1"/>
  <c r="B72" i="12"/>
  <c r="D71" i="12"/>
  <c r="M71" i="12"/>
  <c r="M69" i="11"/>
  <c r="B70" i="11"/>
  <c r="D69" i="11"/>
  <c r="N68" i="11"/>
  <c r="O68" i="11" s="1"/>
  <c r="K60" i="11" l="1"/>
  <c r="O60" i="11" s="1"/>
  <c r="P60" i="11" s="1"/>
  <c r="F61" i="11"/>
  <c r="G61" i="11"/>
  <c r="H61" i="11"/>
  <c r="E62" i="11" s="1"/>
  <c r="G62" i="11" s="1"/>
  <c r="F63" i="12"/>
  <c r="H63" i="12" s="1"/>
  <c r="E64" i="12" s="1"/>
  <c r="G64" i="12" s="1"/>
  <c r="N71" i="12"/>
  <c r="O71" i="12" s="1"/>
  <c r="B73" i="12"/>
  <c r="M72" i="12"/>
  <c r="D72" i="12"/>
  <c r="N69" i="11"/>
  <c r="O69" i="11" s="1"/>
  <c r="B71" i="11"/>
  <c r="D70" i="11"/>
  <c r="M70" i="11"/>
  <c r="K61" i="11" l="1"/>
  <c r="O61" i="11" s="1"/>
  <c r="Q61" i="11" s="1"/>
  <c r="R61" i="11" s="1"/>
  <c r="Q60" i="11"/>
  <c r="R60" i="11" s="1"/>
  <c r="F62" i="11"/>
  <c r="H62" i="11" s="1"/>
  <c r="E63" i="11" s="1"/>
  <c r="G63" i="11" s="1"/>
  <c r="F64" i="12"/>
  <c r="K63" i="12"/>
  <c r="O63" i="12" s="1"/>
  <c r="N72" i="12"/>
  <c r="O72" i="12" s="1"/>
  <c r="B74" i="12"/>
  <c r="D73" i="12"/>
  <c r="M73" i="12"/>
  <c r="N70" i="11"/>
  <c r="O70" i="11" s="1"/>
  <c r="M71" i="11"/>
  <c r="B72" i="11"/>
  <c r="D71" i="11"/>
  <c r="P61" i="11" l="1"/>
  <c r="K62" i="11"/>
  <c r="O62" i="11" s="1"/>
  <c r="F63" i="11"/>
  <c r="K63" i="11" s="1"/>
  <c r="G75" i="12"/>
  <c r="H64" i="12"/>
  <c r="N73" i="12"/>
  <c r="O73" i="12" s="1"/>
  <c r="M74" i="12"/>
  <c r="M75" i="12" s="1"/>
  <c r="D74" i="12"/>
  <c r="B75" i="12"/>
  <c r="N71" i="11"/>
  <c r="O71" i="11" s="1"/>
  <c r="B73" i="11"/>
  <c r="D72" i="11"/>
  <c r="M72" i="11"/>
  <c r="P44" i="12" l="1"/>
  <c r="P45" i="12" s="1"/>
  <c r="P46" i="12" s="1"/>
  <c r="P47" i="12" s="1"/>
  <c r="P48" i="12" s="1"/>
  <c r="P49" i="12" s="1"/>
  <c r="P50" i="12" s="1"/>
  <c r="P51" i="12" s="1"/>
  <c r="P52" i="12" s="1"/>
  <c r="P53" i="12" s="1"/>
  <c r="P54" i="12" s="1"/>
  <c r="P55" i="12" s="1"/>
  <c r="P56" i="12" s="1"/>
  <c r="P57" i="12" s="1"/>
  <c r="P58" i="12" s="1"/>
  <c r="P59" i="12" s="1"/>
  <c r="P60" i="12" s="1"/>
  <c r="P61" i="12" s="1"/>
  <c r="P62" i="12" s="1"/>
  <c r="P63" i="12" s="1"/>
  <c r="Q45" i="12"/>
  <c r="R45" i="12" s="1"/>
  <c r="Q46" i="12"/>
  <c r="R46" i="12" s="1"/>
  <c r="Q47" i="12"/>
  <c r="R47" i="12" s="1"/>
  <c r="Q48" i="12"/>
  <c r="R48" i="12" s="1"/>
  <c r="Q49" i="12"/>
  <c r="R49" i="12" s="1"/>
  <c r="Q50" i="12"/>
  <c r="R50" i="12" s="1"/>
  <c r="Q51" i="12"/>
  <c r="R51" i="12" s="1"/>
  <c r="Q52" i="12"/>
  <c r="R52" i="12" s="1"/>
  <c r="Q53" i="12"/>
  <c r="R53" i="12" s="1"/>
  <c r="Q54" i="12"/>
  <c r="R54" i="12" s="1"/>
  <c r="Q55" i="12"/>
  <c r="R55" i="12" s="1"/>
  <c r="Q56" i="12"/>
  <c r="R56" i="12" s="1"/>
  <c r="Q57" i="12"/>
  <c r="R57" i="12" s="1"/>
  <c r="Q58" i="12"/>
  <c r="R58" i="12" s="1"/>
  <c r="Q59" i="12"/>
  <c r="R59" i="12" s="1"/>
  <c r="Q60" i="12"/>
  <c r="R60" i="12" s="1"/>
  <c r="Q61" i="12"/>
  <c r="R61" i="12" s="1"/>
  <c r="Q62" i="12"/>
  <c r="R62" i="12" s="1"/>
  <c r="Q62" i="11"/>
  <c r="R62" i="11" s="1"/>
  <c r="P62" i="11"/>
  <c r="H63" i="11"/>
  <c r="E64" i="11" s="1"/>
  <c r="Q63" i="12"/>
  <c r="R63" i="12" s="1"/>
  <c r="K64" i="12"/>
  <c r="O64" i="12" s="1"/>
  <c r="O63" i="11"/>
  <c r="N74" i="12"/>
  <c r="O74" i="12" s="1"/>
  <c r="D75" i="12"/>
  <c r="N72" i="11"/>
  <c r="O72" i="11" s="1"/>
  <c r="M73" i="11"/>
  <c r="B74" i="11"/>
  <c r="D73" i="11"/>
  <c r="F64" i="11" l="1"/>
  <c r="H64" i="11" s="1"/>
  <c r="G64" i="11"/>
  <c r="G75" i="11" s="1"/>
  <c r="K75" i="12"/>
  <c r="E82" i="12" s="1"/>
  <c r="Q63" i="11"/>
  <c r="R63" i="11" s="1"/>
  <c r="P63" i="11"/>
  <c r="N73" i="11"/>
  <c r="O73" i="11" s="1"/>
  <c r="N75" i="12"/>
  <c r="D74" i="11"/>
  <c r="M74" i="11"/>
  <c r="M75" i="11" s="1"/>
  <c r="B75" i="11"/>
  <c r="Q65" i="12" l="1"/>
  <c r="R65" i="12" s="1"/>
  <c r="Q69" i="12"/>
  <c r="R69" i="12" s="1"/>
  <c r="Q68" i="12"/>
  <c r="R68" i="12" s="1"/>
  <c r="Q73" i="12"/>
  <c r="R73" i="12" s="1"/>
  <c r="Q67" i="12"/>
  <c r="R67" i="12" s="1"/>
  <c r="Q66" i="12"/>
  <c r="R66" i="12" s="1"/>
  <c r="Q70" i="12"/>
  <c r="R70" i="12" s="1"/>
  <c r="Q72" i="12"/>
  <c r="R72" i="12" s="1"/>
  <c r="Q64" i="12"/>
  <c r="R64" i="12" s="1"/>
  <c r="Q71" i="12"/>
  <c r="R71" i="12" s="1"/>
  <c r="P64" i="12"/>
  <c r="P65" i="12" s="1"/>
  <c r="P66" i="12" s="1"/>
  <c r="P67" i="12" s="1"/>
  <c r="P68" i="12" s="1"/>
  <c r="P69" i="12" s="1"/>
  <c r="P70" i="12" s="1"/>
  <c r="P71" i="12" s="1"/>
  <c r="P72" i="12" s="1"/>
  <c r="P73" i="12" s="1"/>
  <c r="P74" i="12" s="1"/>
  <c r="K64" i="11"/>
  <c r="Q74" i="12"/>
  <c r="E80" i="12"/>
  <c r="F27" i="3" s="1"/>
  <c r="N74" i="11"/>
  <c r="D75" i="11"/>
  <c r="R75" i="12" l="1"/>
  <c r="E79" i="12" s="1"/>
  <c r="E27" i="3" s="1"/>
  <c r="O64" i="11"/>
  <c r="K75" i="11"/>
  <c r="E82" i="11" s="1"/>
  <c r="E78" i="12"/>
  <c r="D27" i="3" s="1"/>
  <c r="R74" i="12"/>
  <c r="O74" i="11"/>
  <c r="N75" i="11"/>
  <c r="Q71" i="11" l="1"/>
  <c r="R71" i="11" s="1"/>
  <c r="Q64" i="11"/>
  <c r="R64" i="11" s="1"/>
  <c r="Q69" i="11"/>
  <c r="R69" i="11" s="1"/>
  <c r="Q72" i="11"/>
  <c r="R72" i="11" s="1"/>
  <c r="Q66" i="11"/>
  <c r="R66" i="11" s="1"/>
  <c r="Q70" i="11"/>
  <c r="R70" i="11" s="1"/>
  <c r="Q67" i="11"/>
  <c r="R67" i="11" s="1"/>
  <c r="Q68" i="11"/>
  <c r="R68" i="11" s="1"/>
  <c r="Q65" i="11"/>
  <c r="R65" i="11" s="1"/>
  <c r="P64" i="11"/>
  <c r="P65" i="11" s="1"/>
  <c r="P66" i="11" s="1"/>
  <c r="P67" i="11" s="1"/>
  <c r="P68" i="11" s="1"/>
  <c r="P69" i="11" s="1"/>
  <c r="P70" i="11" s="1"/>
  <c r="P71" i="11" s="1"/>
  <c r="P72" i="11" s="1"/>
  <c r="P73" i="11" s="1"/>
  <c r="P74" i="11" s="1"/>
  <c r="Q73" i="11"/>
  <c r="R73" i="11" s="1"/>
  <c r="Q74" i="11"/>
  <c r="E80" i="11"/>
  <c r="F26" i="3" s="1"/>
  <c r="R75" i="11" l="1"/>
  <c r="E79" i="11" s="1"/>
  <c r="E26" i="3" s="1"/>
  <c r="E78" i="11"/>
  <c r="D26" i="3" s="1"/>
  <c r="R74" i="11"/>
  <c r="J58" i="9" l="1"/>
  <c r="J57" i="9"/>
  <c r="J56" i="9"/>
  <c r="J55" i="9"/>
  <c r="J54" i="9"/>
  <c r="J53" i="9"/>
  <c r="J52" i="9"/>
  <c r="J51" i="9"/>
  <c r="J50" i="9"/>
  <c r="J49" i="9"/>
  <c r="J48" i="9"/>
  <c r="J47" i="9"/>
  <c r="J46" i="9"/>
  <c r="J45" i="9"/>
  <c r="J44" i="9"/>
  <c r="J43" i="9"/>
  <c r="J42" i="9"/>
  <c r="J41" i="9"/>
  <c r="J40" i="9"/>
  <c r="J39" i="9"/>
  <c r="Q38" i="9"/>
  <c r="P38" i="9"/>
  <c r="O38" i="9"/>
  <c r="B38" i="9"/>
  <c r="J59" i="9" l="1"/>
  <c r="D38" i="9"/>
  <c r="U38" i="9" s="1"/>
  <c r="C97" i="9"/>
  <c r="C93" i="9"/>
  <c r="C101" i="9"/>
  <c r="C96" i="9"/>
  <c r="C98" i="9"/>
  <c r="C103" i="9"/>
  <c r="C99" i="9"/>
  <c r="C100" i="9"/>
  <c r="C95" i="9"/>
  <c r="C94" i="9"/>
  <c r="C102" i="9"/>
  <c r="C104" i="9"/>
  <c r="P39" i="9"/>
  <c r="B39" i="9"/>
  <c r="Q39" i="9"/>
  <c r="Q40" i="9" s="1"/>
  <c r="Q41" i="9" s="1"/>
  <c r="Q42" i="9" s="1"/>
  <c r="Q43" i="9" s="1"/>
  <c r="Q44" i="9" s="1"/>
  <c r="Q45" i="9" s="1"/>
  <c r="Q46" i="9" s="1"/>
  <c r="Q47" i="9" s="1"/>
  <c r="Q48" i="9" s="1"/>
  <c r="Q49" i="9" s="1"/>
  <c r="Q50" i="9" s="1"/>
  <c r="Q51" i="9" s="1"/>
  <c r="Q52" i="9" s="1"/>
  <c r="Q53" i="9" s="1"/>
  <c r="Q54" i="9" s="1"/>
  <c r="Q55" i="9" s="1"/>
  <c r="Q56" i="9" s="1"/>
  <c r="Q57" i="9" s="1"/>
  <c r="Q58" i="9" s="1"/>
  <c r="P40" i="9" l="1"/>
  <c r="D39" i="9"/>
  <c r="U39" i="9" s="1"/>
  <c r="B40" i="9"/>
  <c r="Q59" i="9"/>
  <c r="P41" i="9" l="1"/>
  <c r="B41" i="9"/>
  <c r="D40" i="9"/>
  <c r="U40" i="9" l="1"/>
  <c r="B42" i="9"/>
  <c r="D41" i="9"/>
  <c r="P42" i="9"/>
  <c r="P43" i="9" l="1"/>
  <c r="B43" i="9"/>
  <c r="D42" i="9"/>
  <c r="U41" i="9"/>
  <c r="U42" i="9" s="1"/>
  <c r="D43" i="9" l="1"/>
  <c r="U43" i="9" s="1"/>
  <c r="B44" i="9"/>
  <c r="P44" i="9"/>
  <c r="P45" i="9" l="1"/>
  <c r="B45" i="9"/>
  <c r="D44" i="9"/>
  <c r="U44" i="9" s="1"/>
  <c r="B46" i="9" l="1"/>
  <c r="D45" i="9"/>
  <c r="U45" i="9" s="1"/>
  <c r="P46" i="9"/>
  <c r="B47" i="9" l="1"/>
  <c r="D46" i="9"/>
  <c r="U46" i="9" s="1"/>
  <c r="P47" i="9"/>
  <c r="P48" i="9" l="1"/>
  <c r="D47" i="9"/>
  <c r="U47" i="9" s="1"/>
  <c r="B48" i="9"/>
  <c r="B49" i="9" l="1"/>
  <c r="D48" i="9"/>
  <c r="U48" i="9" s="1"/>
  <c r="P49" i="9"/>
  <c r="P50" i="9" l="1"/>
  <c r="B50" i="9"/>
  <c r="D49" i="9"/>
  <c r="U49" i="9" s="1"/>
  <c r="P51" i="9" l="1"/>
  <c r="B51" i="9"/>
  <c r="D50" i="9"/>
  <c r="U50" i="9" s="1"/>
  <c r="P52" i="9" l="1"/>
  <c r="D51" i="9"/>
  <c r="U51" i="9" s="1"/>
  <c r="B52" i="9"/>
  <c r="B53" i="9" l="1"/>
  <c r="D52" i="9"/>
  <c r="U52" i="9" s="1"/>
  <c r="P53" i="9"/>
  <c r="B54" i="9" l="1"/>
  <c r="D53" i="9"/>
  <c r="U53" i="9" s="1"/>
  <c r="P54" i="9"/>
  <c r="P55" i="9" l="1"/>
  <c r="B55" i="9"/>
  <c r="D54" i="9"/>
  <c r="U54" i="9" s="1"/>
  <c r="P56" i="9" l="1"/>
  <c r="D55" i="9"/>
  <c r="U55" i="9" s="1"/>
  <c r="B56" i="9"/>
  <c r="P57" i="9" l="1"/>
  <c r="B57" i="9"/>
  <c r="D56" i="9"/>
  <c r="U56" i="9" s="1"/>
  <c r="P58" i="9" l="1"/>
  <c r="B58" i="9"/>
  <c r="D58" i="9" s="1"/>
  <c r="D57" i="9"/>
  <c r="U57" i="9" s="1"/>
  <c r="U58" i="9" l="1"/>
  <c r="D59" i="9"/>
  <c r="P59" i="9"/>
  <c r="K38" i="9" l="1"/>
  <c r="L38" i="9" s="1"/>
  <c r="M38" i="9" s="1"/>
  <c r="K38" i="8"/>
  <c r="V38" i="8" s="1"/>
  <c r="V38" i="9" l="1"/>
  <c r="L38" i="8"/>
  <c r="M38" i="8" s="1"/>
  <c r="P38" i="8" l="1"/>
  <c r="B38" i="8"/>
  <c r="B39" i="8" l="1"/>
  <c r="D38" i="8"/>
  <c r="P39" i="8"/>
  <c r="B22" i="3"/>
  <c r="P40" i="8" l="1"/>
  <c r="U38" i="8"/>
  <c r="D39" i="8"/>
  <c r="B40" i="8"/>
  <c r="E106" i="9"/>
  <c r="E104" i="9"/>
  <c r="E103" i="9"/>
  <c r="E102" i="9"/>
  <c r="E101" i="9"/>
  <c r="E100" i="9"/>
  <c r="E99" i="9"/>
  <c r="E98" i="9"/>
  <c r="E97" i="9"/>
  <c r="E96" i="9"/>
  <c r="E95" i="9"/>
  <c r="E94" i="9"/>
  <c r="E93" i="9"/>
  <c r="U39" i="8" l="1"/>
  <c r="B41" i="8"/>
  <c r="D40" i="8"/>
  <c r="P41" i="8"/>
  <c r="D106" i="9"/>
  <c r="D101" i="9" s="1"/>
  <c r="G100" i="9"/>
  <c r="M100" i="9" s="1"/>
  <c r="G96" i="9"/>
  <c r="M96" i="9" s="1"/>
  <c r="G103" i="9"/>
  <c r="M103" i="9" s="1"/>
  <c r="G99" i="9"/>
  <c r="M99" i="9" s="1"/>
  <c r="G95" i="9"/>
  <c r="M95" i="9" s="1"/>
  <c r="G102" i="9"/>
  <c r="M102" i="9" s="1"/>
  <c r="G98" i="9"/>
  <c r="M98" i="9" s="1"/>
  <c r="G94" i="9"/>
  <c r="M94" i="9" s="1"/>
  <c r="G101" i="9"/>
  <c r="M101" i="9" s="1"/>
  <c r="G97" i="9"/>
  <c r="M97" i="9" s="1"/>
  <c r="G93" i="9"/>
  <c r="G104" i="9"/>
  <c r="M104" i="9" s="1"/>
  <c r="E98" i="8"/>
  <c r="E99" i="8"/>
  <c r="E100" i="8"/>
  <c r="E101" i="8"/>
  <c r="E102" i="8"/>
  <c r="E103" i="8"/>
  <c r="E104" i="8"/>
  <c r="E105" i="8"/>
  <c r="E106" i="8"/>
  <c r="E107" i="8"/>
  <c r="E108" i="8"/>
  <c r="E109" i="8"/>
  <c r="E111" i="8"/>
  <c r="D111" i="8"/>
  <c r="D104" i="9" l="1"/>
  <c r="D96" i="9"/>
  <c r="P42" i="8"/>
  <c r="B42" i="8"/>
  <c r="D41" i="8"/>
  <c r="U40" i="8"/>
  <c r="D99" i="9"/>
  <c r="D94" i="9"/>
  <c r="D95" i="9"/>
  <c r="D97" i="9"/>
  <c r="D93" i="9"/>
  <c r="D100" i="9"/>
  <c r="D102" i="9"/>
  <c r="D103" i="9"/>
  <c r="D98" i="9"/>
  <c r="H97" i="9"/>
  <c r="K97" i="9" s="1"/>
  <c r="H103" i="9"/>
  <c r="K103" i="9" s="1"/>
  <c r="H101" i="9"/>
  <c r="K101" i="9" s="1"/>
  <c r="H96" i="9"/>
  <c r="K96" i="9" s="1"/>
  <c r="H100" i="9"/>
  <c r="K100" i="9" s="1"/>
  <c r="H102" i="9"/>
  <c r="K102" i="9" s="1"/>
  <c r="H94" i="9"/>
  <c r="K94" i="9" s="1"/>
  <c r="H98" i="9"/>
  <c r="K98" i="9" s="1"/>
  <c r="H104" i="9"/>
  <c r="K104" i="9" s="1"/>
  <c r="H95" i="9"/>
  <c r="K95" i="9" s="1"/>
  <c r="C105" i="9"/>
  <c r="D67" i="9" s="1"/>
  <c r="G105" i="9"/>
  <c r="M93" i="9"/>
  <c r="H93" i="9"/>
  <c r="I93" i="9" s="1"/>
  <c r="H99" i="9"/>
  <c r="K99" i="9" s="1"/>
  <c r="D98" i="8"/>
  <c r="D109" i="8"/>
  <c r="D106" i="8"/>
  <c r="D102" i="8"/>
  <c r="D105" i="8"/>
  <c r="D101" i="8"/>
  <c r="G101" i="8"/>
  <c r="M101" i="8" s="1"/>
  <c r="D108" i="8"/>
  <c r="D104" i="8"/>
  <c r="D100" i="8"/>
  <c r="D107" i="8"/>
  <c r="D103" i="8"/>
  <c r="D99" i="8"/>
  <c r="B43" i="8" l="1"/>
  <c r="D42" i="8"/>
  <c r="U41" i="8"/>
  <c r="P43" i="8"/>
  <c r="D87" i="9"/>
  <c r="I104" i="9"/>
  <c r="J104" i="9" s="1"/>
  <c r="I102" i="9"/>
  <c r="J102" i="9" s="1"/>
  <c r="I94" i="9"/>
  <c r="J94" i="9" s="1"/>
  <c r="I96" i="9"/>
  <c r="I97" i="9"/>
  <c r="L97" i="9" s="1"/>
  <c r="I98" i="9"/>
  <c r="I99" i="9"/>
  <c r="I95" i="9"/>
  <c r="J93" i="9"/>
  <c r="L93" i="9"/>
  <c r="I100" i="9"/>
  <c r="I101" i="9"/>
  <c r="M105" i="9"/>
  <c r="D64" i="9"/>
  <c r="I103" i="9"/>
  <c r="K93" i="9"/>
  <c r="K105" i="9" s="1"/>
  <c r="H105" i="9"/>
  <c r="D66" i="9" s="1"/>
  <c r="G106" i="8"/>
  <c r="M106" i="8" s="1"/>
  <c r="G100" i="8"/>
  <c r="G98" i="8"/>
  <c r="M98" i="8" s="1"/>
  <c r="G99" i="8"/>
  <c r="M99" i="8" s="1"/>
  <c r="G105" i="8"/>
  <c r="G107" i="8"/>
  <c r="M107" i="8" s="1"/>
  <c r="G103" i="8"/>
  <c r="M103" i="8" s="1"/>
  <c r="G108" i="8"/>
  <c r="M108" i="8" s="1"/>
  <c r="G102" i="8"/>
  <c r="M102" i="8" s="1"/>
  <c r="G109" i="8"/>
  <c r="M109" i="8" s="1"/>
  <c r="G104" i="8"/>
  <c r="M104" i="8" s="1"/>
  <c r="C110" i="8"/>
  <c r="H101" i="8"/>
  <c r="D88" i="9" l="1"/>
  <c r="H18" i="3" s="1"/>
  <c r="D71" i="9"/>
  <c r="U42" i="8"/>
  <c r="P44" i="8"/>
  <c r="D43" i="8"/>
  <c r="B44" i="8"/>
  <c r="H105" i="8"/>
  <c r="I105" i="8" s="1"/>
  <c r="M105" i="8"/>
  <c r="H100" i="8"/>
  <c r="K100" i="8" s="1"/>
  <c r="M100" i="8"/>
  <c r="L104" i="9"/>
  <c r="L102" i="9"/>
  <c r="J96" i="9"/>
  <c r="L96" i="9"/>
  <c r="J95" i="9"/>
  <c r="L95" i="9"/>
  <c r="J97" i="9"/>
  <c r="J98" i="9"/>
  <c r="L98" i="9"/>
  <c r="J99" i="9"/>
  <c r="L99" i="9"/>
  <c r="L94" i="9"/>
  <c r="D74" i="9"/>
  <c r="J101" i="9"/>
  <c r="L101" i="9"/>
  <c r="J100" i="9"/>
  <c r="L100" i="9"/>
  <c r="J103" i="9"/>
  <c r="L103" i="9"/>
  <c r="I105" i="9"/>
  <c r="R38" i="9" s="1"/>
  <c r="H106" i="8"/>
  <c r="K106" i="8" s="1"/>
  <c r="H103" i="8"/>
  <c r="K103" i="8" s="1"/>
  <c r="H104" i="8"/>
  <c r="K104" i="8" s="1"/>
  <c r="H107" i="8"/>
  <c r="K107" i="8" s="1"/>
  <c r="H98" i="8"/>
  <c r="I98" i="8" s="1"/>
  <c r="H99" i="8"/>
  <c r="K99" i="8" s="1"/>
  <c r="D72" i="8"/>
  <c r="H109" i="8"/>
  <c r="K109" i="8" s="1"/>
  <c r="H102" i="8"/>
  <c r="K102" i="8" s="1"/>
  <c r="G110" i="8"/>
  <c r="M110" i="8" s="1"/>
  <c r="D76" i="8" s="1"/>
  <c r="H108" i="8"/>
  <c r="I101" i="8"/>
  <c r="K101" i="8"/>
  <c r="U43" i="8" l="1"/>
  <c r="B45" i="8"/>
  <c r="D44" i="8"/>
  <c r="U44" i="8" s="1"/>
  <c r="P45" i="8"/>
  <c r="R39" i="9"/>
  <c r="K105" i="8"/>
  <c r="I100" i="8"/>
  <c r="J100" i="8" s="1"/>
  <c r="D92" i="8"/>
  <c r="D93" i="8"/>
  <c r="H22" i="3" s="1"/>
  <c r="L105" i="9"/>
  <c r="J105" i="9"/>
  <c r="D69" i="9"/>
  <c r="I18" i="3" s="1"/>
  <c r="I103" i="8"/>
  <c r="L103" i="8" s="1"/>
  <c r="I106" i="8"/>
  <c r="J106" i="8" s="1"/>
  <c r="I104" i="8"/>
  <c r="J104" i="8" s="1"/>
  <c r="I107" i="8"/>
  <c r="L107" i="8" s="1"/>
  <c r="I99" i="8"/>
  <c r="L99" i="8" s="1"/>
  <c r="K98" i="8"/>
  <c r="D69" i="8"/>
  <c r="I102" i="8"/>
  <c r="L102" i="8" s="1"/>
  <c r="H110" i="8"/>
  <c r="I109" i="8"/>
  <c r="I108" i="8"/>
  <c r="K108" i="8"/>
  <c r="J105" i="8"/>
  <c r="L105" i="8"/>
  <c r="L98" i="8"/>
  <c r="J98" i="8"/>
  <c r="J101" i="8"/>
  <c r="L101" i="8"/>
  <c r="P46" i="8" l="1"/>
  <c r="D45" i="8"/>
  <c r="U45" i="8" s="1"/>
  <c r="B46" i="8"/>
  <c r="D73" i="9"/>
  <c r="D72" i="9"/>
  <c r="V39" i="9" s="1"/>
  <c r="V40" i="9" s="1"/>
  <c r="V41" i="9" s="1"/>
  <c r="V42" i="9" s="1"/>
  <c r="V43" i="9" s="1"/>
  <c r="V44" i="9" s="1"/>
  <c r="V45" i="9" s="1"/>
  <c r="V46" i="9" s="1"/>
  <c r="V47" i="9" s="1"/>
  <c r="V48" i="9" s="1"/>
  <c r="V49" i="9" s="1"/>
  <c r="V50" i="9" s="1"/>
  <c r="V51" i="9" s="1"/>
  <c r="V52" i="9" s="1"/>
  <c r="V53" i="9" s="1"/>
  <c r="V54" i="9" s="1"/>
  <c r="V55" i="9" s="1"/>
  <c r="V56" i="9" s="1"/>
  <c r="V57" i="9" s="1"/>
  <c r="V58" i="9" s="1"/>
  <c r="D79" i="9"/>
  <c r="G18" i="3"/>
  <c r="R40" i="9"/>
  <c r="S39" i="9"/>
  <c r="L100" i="8"/>
  <c r="L104" i="8"/>
  <c r="J103" i="8"/>
  <c r="L106" i="8"/>
  <c r="J99" i="8"/>
  <c r="J107" i="8"/>
  <c r="K110" i="8"/>
  <c r="I110" i="8"/>
  <c r="R38" i="8" s="1"/>
  <c r="D79" i="8"/>
  <c r="D71" i="8"/>
  <c r="J102" i="8"/>
  <c r="L109" i="8"/>
  <c r="J109" i="8"/>
  <c r="J108" i="8"/>
  <c r="L108" i="8"/>
  <c r="R39" i="8" l="1"/>
  <c r="P47" i="8"/>
  <c r="D46" i="8"/>
  <c r="U46" i="8" s="1"/>
  <c r="B47" i="8"/>
  <c r="R41" i="9"/>
  <c r="S40" i="9"/>
  <c r="D74" i="8"/>
  <c r="I22" i="3" s="1"/>
  <c r="J110" i="8"/>
  <c r="L110" i="8"/>
  <c r="D77" i="8" s="1"/>
  <c r="V39" i="8" l="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D84" i="8"/>
  <c r="G22" i="3"/>
  <c r="R40" i="8"/>
  <c r="S39" i="8"/>
  <c r="P48" i="8"/>
  <c r="B48" i="8"/>
  <c r="D47" i="8"/>
  <c r="U47" i="8" s="1"/>
  <c r="R42" i="9"/>
  <c r="S41" i="9"/>
  <c r="D78" i="8"/>
  <c r="R41" i="8" l="1"/>
  <c r="S40" i="8"/>
  <c r="B49" i="8"/>
  <c r="D48" i="8"/>
  <c r="U48" i="8" s="1"/>
  <c r="P49" i="8"/>
  <c r="R43" i="9"/>
  <c r="S42" i="9"/>
  <c r="R42" i="8" l="1"/>
  <c r="S41" i="8"/>
  <c r="P50" i="8"/>
  <c r="B50" i="8"/>
  <c r="D49" i="8"/>
  <c r="U49" i="8" s="1"/>
  <c r="R44" i="9"/>
  <c r="S43" i="9"/>
  <c r="R43" i="8" l="1"/>
  <c r="S42" i="8"/>
  <c r="D50" i="8"/>
  <c r="U50" i="8" s="1"/>
  <c r="B51" i="8"/>
  <c r="P51" i="8"/>
  <c r="R45" i="9"/>
  <c r="S44" i="9"/>
  <c r="R44" i="8" l="1"/>
  <c r="S43" i="8"/>
  <c r="P52" i="8"/>
  <c r="B52" i="8"/>
  <c r="D51" i="8"/>
  <c r="U51" i="8" s="1"/>
  <c r="R46" i="9"/>
  <c r="S45" i="9"/>
  <c r="R45" i="8" l="1"/>
  <c r="S44" i="8"/>
  <c r="B53" i="8"/>
  <c r="D52" i="8"/>
  <c r="U52" i="8" s="1"/>
  <c r="P53" i="8"/>
  <c r="R47" i="9"/>
  <c r="S46" i="9"/>
  <c r="R46" i="8" l="1"/>
  <c r="S45" i="8"/>
  <c r="P54" i="8"/>
  <c r="B54" i="8"/>
  <c r="D53" i="8"/>
  <c r="U53" i="8" s="1"/>
  <c r="R48" i="9"/>
  <c r="S47" i="9"/>
  <c r="R47" i="8" l="1"/>
  <c r="S46" i="8"/>
  <c r="D54" i="8"/>
  <c r="U54" i="8" s="1"/>
  <c r="B55" i="8"/>
  <c r="P55" i="8"/>
  <c r="R49" i="9"/>
  <c r="S48" i="9"/>
  <c r="R48" i="8" l="1"/>
  <c r="S47" i="8"/>
  <c r="P56" i="8"/>
  <c r="D55" i="8"/>
  <c r="U55" i="8" s="1"/>
  <c r="B56" i="8"/>
  <c r="R50" i="9"/>
  <c r="S49" i="9"/>
  <c r="R49" i="8" l="1"/>
  <c r="S48" i="8"/>
  <c r="D56" i="8"/>
  <c r="U56" i="8" s="1"/>
  <c r="B57" i="8"/>
  <c r="P57" i="8"/>
  <c r="R51" i="9"/>
  <c r="S50" i="9"/>
  <c r="R50" i="8" l="1"/>
  <c r="S49" i="8"/>
  <c r="P58" i="8"/>
  <c r="D57" i="8"/>
  <c r="U57" i="8" s="1"/>
  <c r="B58" i="8"/>
  <c r="R52" i="9"/>
  <c r="S51" i="9"/>
  <c r="R51" i="8" l="1"/>
  <c r="S50" i="8"/>
  <c r="D58" i="8"/>
  <c r="U58" i="8" s="1"/>
  <c r="B59" i="8"/>
  <c r="P59" i="8"/>
  <c r="R53" i="9"/>
  <c r="S52" i="9"/>
  <c r="R52" i="8" l="1"/>
  <c r="S51" i="8"/>
  <c r="P60" i="8"/>
  <c r="D59" i="8"/>
  <c r="U59" i="8" s="1"/>
  <c r="B60" i="8"/>
  <c r="R54" i="9"/>
  <c r="S53" i="9"/>
  <c r="R53" i="8" l="1"/>
  <c r="S52" i="8"/>
  <c r="D60" i="8"/>
  <c r="U60" i="8" s="1"/>
  <c r="B61" i="8"/>
  <c r="P61" i="8"/>
  <c r="R55" i="9"/>
  <c r="S54" i="9"/>
  <c r="R54" i="8" l="1"/>
  <c r="S53" i="8"/>
  <c r="P62" i="8"/>
  <c r="D61" i="8"/>
  <c r="U61" i="8" s="1"/>
  <c r="B62" i="8"/>
  <c r="R56" i="9"/>
  <c r="S55" i="9"/>
  <c r="R55" i="8" l="1"/>
  <c r="S54" i="8"/>
  <c r="D62" i="8"/>
  <c r="U62" i="8" s="1"/>
  <c r="B63" i="8"/>
  <c r="D63" i="8" s="1"/>
  <c r="D64" i="8" s="1"/>
  <c r="P63" i="8"/>
  <c r="R57" i="9"/>
  <c r="S56" i="9"/>
  <c r="R56" i="8" l="1"/>
  <c r="S55" i="8"/>
  <c r="P64" i="8"/>
  <c r="U63" i="8"/>
  <c r="R58" i="9"/>
  <c r="S57" i="9"/>
  <c r="R57" i="8" l="1"/>
  <c r="S56" i="8"/>
  <c r="S58" i="9"/>
  <c r="R59" i="9"/>
  <c r="R58" i="8" l="1"/>
  <c r="S57" i="8"/>
  <c r="S59" i="9"/>
  <c r="R59" i="8" l="1"/>
  <c r="S58" i="8"/>
  <c r="R60" i="8" l="1"/>
  <c r="S59" i="8"/>
  <c r="L59" i="8" l="1"/>
  <c r="R61" i="8"/>
  <c r="S60" i="8"/>
  <c r="L60" i="8" s="1"/>
  <c r="R62" i="8" l="1"/>
  <c r="S61" i="8"/>
  <c r="L61" i="8" l="1"/>
  <c r="R63" i="8"/>
  <c r="S62" i="8"/>
  <c r="L62" i="8" s="1"/>
  <c r="R64" i="8" l="1"/>
  <c r="S63" i="8"/>
  <c r="L63" i="8" l="1"/>
  <c r="S64" i="8"/>
  <c r="K39" i="8"/>
  <c r="E40" i="8"/>
  <c r="G40" i="8" s="1"/>
  <c r="F40" i="8" l="1"/>
  <c r="H40" i="8" s="1"/>
  <c r="E41" i="8" s="1"/>
  <c r="G41" i="8" s="1"/>
  <c r="L39" i="8"/>
  <c r="F41" i="8" l="1"/>
  <c r="K40" i="8"/>
  <c r="M39" i="8"/>
  <c r="N39" i="8"/>
  <c r="O39" i="8" s="1"/>
  <c r="H41" i="8" l="1"/>
  <c r="E42" i="8" s="1"/>
  <c r="K41" i="8"/>
  <c r="L41" i="8" s="1"/>
  <c r="L40" i="8"/>
  <c r="F42" i="8" l="1"/>
  <c r="H42" i="8" s="1"/>
  <c r="E43" i="8" s="1"/>
  <c r="G43" i="8" s="1"/>
  <c r="G42" i="8"/>
  <c r="N41" i="8"/>
  <c r="O41" i="8" s="1"/>
  <c r="N40" i="8"/>
  <c r="O40" i="8" s="1"/>
  <c r="M40" i="8"/>
  <c r="M41" i="8" s="1"/>
  <c r="K42" i="8" l="1"/>
  <c r="L42" i="8" s="1"/>
  <c r="M42" i="8" s="1"/>
  <c r="F43" i="8"/>
  <c r="H43" i="8" s="1"/>
  <c r="E44" i="8" s="1"/>
  <c r="G44" i="8" l="1"/>
  <c r="K43" i="8"/>
  <c r="L43" i="8" s="1"/>
  <c r="M43" i="8" s="1"/>
  <c r="F44" i="8"/>
  <c r="H44" i="8" s="1"/>
  <c r="E45" i="8" s="1"/>
  <c r="F45" i="8" s="1"/>
  <c r="N42" i="8"/>
  <c r="O42" i="8" s="1"/>
  <c r="H45" i="8" l="1"/>
  <c r="E46" i="8" s="1"/>
  <c r="F46" i="8" s="1"/>
  <c r="G45" i="8"/>
  <c r="K45" i="8" s="1"/>
  <c r="N43" i="8"/>
  <c r="O43" i="8" s="1"/>
  <c r="K44" i="8"/>
  <c r="L44" i="8" s="1"/>
  <c r="N44" i="8" s="1"/>
  <c r="O44" i="8" s="1"/>
  <c r="H46" i="8" l="1"/>
  <c r="E47" i="8" s="1"/>
  <c r="F47" i="8" s="1"/>
  <c r="G46" i="8"/>
  <c r="K46" i="8" s="1"/>
  <c r="L46" i="8" s="1"/>
  <c r="M44" i="8"/>
  <c r="L45" i="8"/>
  <c r="H47" i="8" l="1"/>
  <c r="E48" i="8" s="1"/>
  <c r="F48" i="8" s="1"/>
  <c r="G47" i="8"/>
  <c r="K47" i="8" s="1"/>
  <c r="L47" i="8" s="1"/>
  <c r="N47" i="8" s="1"/>
  <c r="O47" i="8" s="1"/>
  <c r="N46" i="8"/>
  <c r="O46" i="8" s="1"/>
  <c r="N45" i="8"/>
  <c r="O45" i="8" s="1"/>
  <c r="M45" i="8"/>
  <c r="M46" i="8" s="1"/>
  <c r="H48" i="8" l="1"/>
  <c r="E49" i="8" s="1"/>
  <c r="F49" i="8" s="1"/>
  <c r="G48" i="8"/>
  <c r="K48" i="8" s="1"/>
  <c r="L48" i="8" s="1"/>
  <c r="M47" i="8"/>
  <c r="H49" i="8" l="1"/>
  <c r="E50" i="8" s="1"/>
  <c r="F50" i="8" s="1"/>
  <c r="G49" i="8"/>
  <c r="K49" i="8" s="1"/>
  <c r="L49" i="8" s="1"/>
  <c r="M48" i="8"/>
  <c r="N48" i="8"/>
  <c r="O48" i="8" s="1"/>
  <c r="H50" i="8" l="1"/>
  <c r="E51" i="8" s="1"/>
  <c r="F51" i="8" s="1"/>
  <c r="G50" i="8"/>
  <c r="K50" i="8" s="1"/>
  <c r="L50" i="8" s="1"/>
  <c r="M49" i="8"/>
  <c r="N49" i="8"/>
  <c r="O49" i="8" s="1"/>
  <c r="H51" i="8" l="1"/>
  <c r="E52" i="8" s="1"/>
  <c r="F52" i="8" s="1"/>
  <c r="G51" i="8"/>
  <c r="K51" i="8" s="1"/>
  <c r="L51" i="8" s="1"/>
  <c r="N51" i="8" s="1"/>
  <c r="O51" i="8" s="1"/>
  <c r="M50" i="8"/>
  <c r="N50" i="8"/>
  <c r="O50" i="8" s="1"/>
  <c r="H52" i="8" l="1"/>
  <c r="E53" i="8" s="1"/>
  <c r="F53" i="8" s="1"/>
  <c r="G52" i="8"/>
  <c r="K52" i="8" s="1"/>
  <c r="L52" i="8" s="1"/>
  <c r="N52" i="8" s="1"/>
  <c r="O52" i="8" s="1"/>
  <c r="M51" i="8"/>
  <c r="H53" i="8" l="1"/>
  <c r="E54" i="8" s="1"/>
  <c r="F54" i="8" s="1"/>
  <c r="G53" i="8"/>
  <c r="K53" i="8" s="1"/>
  <c r="L53" i="8" s="1"/>
  <c r="N53" i="8" s="1"/>
  <c r="O53" i="8" s="1"/>
  <c r="M52" i="8"/>
  <c r="H54" i="8" l="1"/>
  <c r="E55" i="8" s="1"/>
  <c r="F55" i="8" s="1"/>
  <c r="G54" i="8"/>
  <c r="K54" i="8" s="1"/>
  <c r="L54" i="8" s="1"/>
  <c r="N54" i="8" s="1"/>
  <c r="O54" i="8" s="1"/>
  <c r="M53" i="8"/>
  <c r="H55" i="8" l="1"/>
  <c r="E56" i="8" s="1"/>
  <c r="F56" i="8" s="1"/>
  <c r="G55" i="8"/>
  <c r="K55" i="8" s="1"/>
  <c r="L55" i="8" s="1"/>
  <c r="N55" i="8" s="1"/>
  <c r="O55" i="8" s="1"/>
  <c r="M54" i="8"/>
  <c r="H56" i="8" l="1"/>
  <c r="E57" i="8" s="1"/>
  <c r="F57" i="8" s="1"/>
  <c r="G56" i="8"/>
  <c r="K56" i="8" s="1"/>
  <c r="L56" i="8" s="1"/>
  <c r="N56" i="8" s="1"/>
  <c r="O56" i="8" s="1"/>
  <c r="M55" i="8"/>
  <c r="H57" i="8" l="1"/>
  <c r="E58" i="8" s="1"/>
  <c r="F58" i="8" s="1"/>
  <c r="G57" i="8"/>
  <c r="K57" i="8" s="1"/>
  <c r="M56" i="8"/>
  <c r="H58" i="8" l="1"/>
  <c r="G58" i="8"/>
  <c r="G64" i="8" s="1"/>
  <c r="L57" i="8"/>
  <c r="M57" i="8" s="1"/>
  <c r="K58" i="8" l="1"/>
  <c r="L58" i="8" s="1"/>
  <c r="M58" i="8" s="1"/>
  <c r="M59" i="8" s="1"/>
  <c r="M60" i="8" s="1"/>
  <c r="M61" i="8" s="1"/>
  <c r="M62" i="8" s="1"/>
  <c r="M63" i="8" s="1"/>
  <c r="D85" i="8"/>
  <c r="F22" i="3" s="1"/>
  <c r="N57" i="8"/>
  <c r="O57" i="8" s="1"/>
  <c r="N59" i="8" l="1"/>
  <c r="O59" i="8" s="1"/>
  <c r="N58" i="8"/>
  <c r="O58" i="8" s="1"/>
  <c r="N63" i="8"/>
  <c r="D82" i="8" s="1"/>
  <c r="D22" i="3" s="1"/>
  <c r="N61" i="8"/>
  <c r="O61" i="8" s="1"/>
  <c r="N62" i="8"/>
  <c r="O62" i="8" s="1"/>
  <c r="N60" i="8"/>
  <c r="O60" i="8" s="1"/>
  <c r="K64" i="8"/>
  <c r="D86" i="8" s="1"/>
  <c r="O63" i="8" l="1"/>
  <c r="O64" i="8" s="1"/>
  <c r="D83" i="8" s="1"/>
  <c r="E22" i="3" s="1"/>
  <c r="E40" i="9"/>
  <c r="G40" i="9" s="1"/>
  <c r="F40" i="9" l="1"/>
  <c r="H40" i="9" s="1"/>
  <c r="K39" i="9"/>
  <c r="K40" i="9" l="1"/>
  <c r="L40" i="9" s="1"/>
  <c r="E41" i="9"/>
  <c r="L39" i="9"/>
  <c r="F41" i="9" l="1"/>
  <c r="G41" i="9"/>
  <c r="H41" i="9"/>
  <c r="E42" i="9" s="1"/>
  <c r="G42" i="9" s="1"/>
  <c r="N40" i="9"/>
  <c r="O40" i="9" s="1"/>
  <c r="M39" i="9"/>
  <c r="M40" i="9" s="1"/>
  <c r="N39" i="9"/>
  <c r="O39" i="9" s="1"/>
  <c r="K41" i="9" l="1"/>
  <c r="L41" i="9" s="1"/>
  <c r="N41" i="9" s="1"/>
  <c r="O41" i="9" s="1"/>
  <c r="F42" i="9"/>
  <c r="H42" i="9" s="1"/>
  <c r="M41" i="9" l="1"/>
  <c r="K42" i="9"/>
  <c r="L42" i="9" s="1"/>
  <c r="M42" i="9" s="1"/>
  <c r="E43" i="9"/>
  <c r="G43" i="9" s="1"/>
  <c r="N42" i="9" l="1"/>
  <c r="O42" i="9" s="1"/>
  <c r="F43" i="9"/>
  <c r="H43" i="9" s="1"/>
  <c r="K43" i="9" l="1"/>
  <c r="L43" i="9" s="1"/>
  <c r="E44" i="9"/>
  <c r="G44" i="9" s="1"/>
  <c r="N43" i="9" l="1"/>
  <c r="O43" i="9" s="1"/>
  <c r="M43" i="9"/>
  <c r="F44" i="9"/>
  <c r="H44" i="9" s="1"/>
  <c r="E45" i="9" s="1"/>
  <c r="G45" i="9" s="1"/>
  <c r="K44" i="9" l="1"/>
  <c r="L44" i="9" s="1"/>
  <c r="F45" i="9"/>
  <c r="H45" i="9" s="1"/>
  <c r="E46" i="9" s="1"/>
  <c r="G46" i="9" s="1"/>
  <c r="K45" i="9" l="1"/>
  <c r="L45" i="9" s="1"/>
  <c r="N44" i="9"/>
  <c r="O44" i="9" s="1"/>
  <c r="M44" i="9"/>
  <c r="F46" i="9"/>
  <c r="H46" i="9" s="1"/>
  <c r="E47" i="9" s="1"/>
  <c r="G47" i="9" s="1"/>
  <c r="M45" i="9" l="1"/>
  <c r="K46" i="9"/>
  <c r="L46" i="9" s="1"/>
  <c r="N46" i="9" s="1"/>
  <c r="O46" i="9" s="1"/>
  <c r="N45" i="9"/>
  <c r="O45" i="9" s="1"/>
  <c r="F47" i="9"/>
  <c r="H47" i="9" l="1"/>
  <c r="E48" i="9" s="1"/>
  <c r="K47" i="9"/>
  <c r="L47" i="9" s="1"/>
  <c r="N47" i="9" s="1"/>
  <c r="O47" i="9" s="1"/>
  <c r="M46" i="9"/>
  <c r="F48" i="9" l="1"/>
  <c r="G48" i="9"/>
  <c r="H48" i="9"/>
  <c r="E49" i="9" s="1"/>
  <c r="G49" i="9" s="1"/>
  <c r="M47" i="9"/>
  <c r="K48" i="9" l="1"/>
  <c r="L48" i="9" s="1"/>
  <c r="M48" i="9" s="1"/>
  <c r="H49" i="9"/>
  <c r="F49" i="9"/>
  <c r="N48" i="9" l="1"/>
  <c r="O48" i="9" s="1"/>
  <c r="K49" i="9"/>
  <c r="L49" i="9" s="1"/>
  <c r="N49" i="9" s="1"/>
  <c r="O49" i="9" s="1"/>
  <c r="E50" i="9"/>
  <c r="G50" i="9" s="1"/>
  <c r="M49" i="9" l="1"/>
  <c r="H50" i="9"/>
  <c r="F50" i="9"/>
  <c r="K50" i="9" l="1"/>
  <c r="L50" i="9" s="1"/>
  <c r="N50" i="9" s="1"/>
  <c r="O50" i="9" s="1"/>
  <c r="E51" i="9"/>
  <c r="G51" i="9" s="1"/>
  <c r="M50" i="9" l="1"/>
  <c r="H51" i="9"/>
  <c r="F51" i="9"/>
  <c r="K51" i="9" l="1"/>
  <c r="L51" i="9" s="1"/>
  <c r="N51" i="9" s="1"/>
  <c r="O51" i="9" s="1"/>
  <c r="E52" i="9"/>
  <c r="G52" i="9" s="1"/>
  <c r="M51" i="9" l="1"/>
  <c r="H52" i="9"/>
  <c r="F52" i="9"/>
  <c r="K52" i="9" l="1"/>
  <c r="L52" i="9" s="1"/>
  <c r="N52" i="9" s="1"/>
  <c r="O52" i="9" s="1"/>
  <c r="E53" i="9"/>
  <c r="G53" i="9" s="1"/>
  <c r="M52" i="9" l="1"/>
  <c r="H53" i="9"/>
  <c r="F53" i="9"/>
  <c r="K53" i="9" l="1"/>
  <c r="L53" i="9" s="1"/>
  <c r="E54" i="9"/>
  <c r="G54" i="9" s="1"/>
  <c r="H54" i="9" l="1"/>
  <c r="F54" i="9"/>
  <c r="N53" i="9"/>
  <c r="O53" i="9" s="1"/>
  <c r="M53" i="9"/>
  <c r="K54" i="9" l="1"/>
  <c r="L54" i="9" s="1"/>
  <c r="M54" i="9" s="1"/>
  <c r="E55" i="9"/>
  <c r="G55" i="9" s="1"/>
  <c r="H55" i="9" l="1"/>
  <c r="F55" i="9"/>
  <c r="N54" i="9"/>
  <c r="O54" i="9" s="1"/>
  <c r="K55" i="9" l="1"/>
  <c r="L55" i="9" s="1"/>
  <c r="E56" i="9"/>
  <c r="G56" i="9" s="1"/>
  <c r="H56" i="9" l="1"/>
  <c r="F56" i="9"/>
  <c r="N55" i="9"/>
  <c r="O55" i="9" s="1"/>
  <c r="M55" i="9"/>
  <c r="K56" i="9" l="1"/>
  <c r="L56" i="9" s="1"/>
  <c r="E57" i="9"/>
  <c r="G57" i="9" s="1"/>
  <c r="H57" i="9" l="1"/>
  <c r="F57" i="9"/>
  <c r="N56" i="9"/>
  <c r="O56" i="9" s="1"/>
  <c r="M56" i="9"/>
  <c r="K57" i="9" l="1"/>
  <c r="L57" i="9" s="1"/>
  <c r="E58" i="9"/>
  <c r="G58" i="9" s="1"/>
  <c r="G59" i="9" l="1"/>
  <c r="H58" i="9"/>
  <c r="N57" i="9"/>
  <c r="O57" i="9" s="1"/>
  <c r="M57" i="9"/>
  <c r="F58" i="9"/>
  <c r="K58" i="9" l="1"/>
  <c r="L58" i="9" s="1"/>
  <c r="M58" i="9" s="1"/>
  <c r="K59" i="9" l="1"/>
  <c r="D81" i="9" s="1"/>
  <c r="N58" i="9"/>
  <c r="D80" i="9"/>
  <c r="F18" i="3" s="1"/>
  <c r="O58" i="9" l="1"/>
  <c r="O59" i="9" s="1"/>
  <c r="D78" i="9" s="1"/>
  <c r="E18" i="3" s="1"/>
  <c r="D77" i="9"/>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2990BB3E-E284-4BF6-8717-932EFC3E53B1}">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052A8087-F9B7-43FC-81F6-807E888235D1}">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2DE6108-B88C-4681-B9CF-3078D73063E8}">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BA2D12DC-B432-4642-8C04-9E44849FA5F2}">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498140EF-051B-4D96-B9D2-27C50BF02683}">
      <text>
        <r>
          <rPr>
            <b/>
            <sz val="9"/>
            <color indexed="81"/>
            <rFont val="Tahoma"/>
            <family val="2"/>
          </rPr>
          <t>Rummukainen Miika:</t>
        </r>
        <r>
          <rPr>
            <sz val="9"/>
            <color indexed="81"/>
            <rFont val="Tahoma"/>
            <family val="2"/>
          </rPr>
          <t xml:space="preserve">
Korvattu arvo, huomioidaan kannattavuuslaskelmissa</t>
        </r>
      </text>
    </comment>
    <comment ref="D14" authorId="0" shapeId="0" xr:uid="{E1FAD116-F3EB-41E4-B185-E32FDD116CD5}">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E85572E0-61B3-4E2E-B32F-4B548A98FD5B}">
      <text>
        <r>
          <rPr>
            <b/>
            <sz val="9"/>
            <color indexed="81"/>
            <rFont val="Tahoma"/>
            <family val="2"/>
          </rPr>
          <t>Rummukainen Miika:</t>
        </r>
        <r>
          <rPr>
            <sz val="9"/>
            <color indexed="81"/>
            <rFont val="Tahoma"/>
            <family val="2"/>
          </rPr>
          <t xml:space="preserve">
Esim. tyypilliisiä: COP MLP 3,20, IVLP 2,50</t>
        </r>
      </text>
    </comment>
    <comment ref="D19" authorId="0" shapeId="0" xr:uid="{0DE40653-A500-4F55-BB09-ACC62E75C692}">
      <text>
        <r>
          <rPr>
            <b/>
            <sz val="9"/>
            <color indexed="81"/>
            <rFont val="Tahoma"/>
            <family val="2"/>
          </rPr>
          <t>Rummukainen Miika:</t>
        </r>
        <r>
          <rPr>
            <sz val="9"/>
            <color indexed="81"/>
            <rFont val="Tahoma"/>
            <family val="2"/>
          </rPr>
          <t xml:space="preserve">
Lähde www.sulpu.fi: esim. VILP (7-9kW; 10000€) mitoitettavissa 10500kWh/vuosi säästöön energiankulutuksessa (lämmitys).
Arvio esim. VILP asennus 500 … 1000 € 
Huom! Lähtötietoina hinnat joko "sis alv 0%" = yritykset, kunnat tai "veroineen" = kuluttajat.</t>
        </r>
      </text>
    </comment>
    <comment ref="D20" authorId="0" shapeId="0" xr:uid="{689C1409-C48F-4773-B70D-DFF7CA273E5A}">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Business Finland energiatuki:
Energiatukea eivät saa: asunto-osakeyhtiöt, asuinkiinteistöt, maatilat, ...
Lämpöpumppuhankkeet * 15 %
Aurinkosähköhankkeet 1.5.2019 alkaen 20 %
Uuden teknologian hankkeet enintään 40%</t>
        </r>
      </text>
    </comment>
    <comment ref="D21" authorId="0" shapeId="0" xr:uid="{14509C29-A39C-46FD-90DB-FE80A334D29E}">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844DC6B7-5BEA-48EF-BD6C-7F3569F856BC}">
      <text>
        <r>
          <rPr>
            <sz val="12"/>
            <color rgb="FF000000"/>
            <rFont val="Calibri"/>
            <family val="2"/>
          </rPr>
          <t xml:space="preserve"> Huom! Tuotto-odotus vain tapauksissa, kun sijoitetaan aurinkovoimaan muutoin kuin omaan käyttöön (useimmiten). Tyypillisesti luokkaa 2%.</t>
        </r>
      </text>
    </comment>
    <comment ref="D24" authorId="0" shapeId="0" xr:uid="{FD7481BF-C826-4443-993F-310E366FCAB5}">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4E796378-93CA-4DFD-B4A7-CC43CA898A6A}">
      <text>
        <r>
          <rPr>
            <b/>
            <sz val="9"/>
            <color indexed="81"/>
            <rFont val="Tahoma"/>
            <family val="2"/>
          </rPr>
          <t>Rummukainen Miika:</t>
        </r>
        <r>
          <rPr>
            <sz val="9"/>
            <color indexed="81"/>
            <rFont val="Tahoma"/>
            <family val="2"/>
          </rPr>
          <t xml:space="preserve">
Esim. MLP huolto 220€, VILP 220€, PILP 200€, ILP 180€. Esim. kompressori, lämpökaivot, liuokset.
Elinkaaren vuosittaiset ja kertaluonteiset kulut lasketaan yhteen ja jaetaan elinkaaren kestolla (vuotta).
Huom! Lähtötietoina hinnat joko "sis alv 0%" = yritykset, kunnat tai "veroineen" =  kuluttajat.</t>
        </r>
      </text>
    </comment>
    <comment ref="D27" authorId="0" shapeId="0" xr:uid="{06CC3FD5-C24D-4620-B592-FDFBE25D9CF8}">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B4B7694-08A2-4DEC-BEA2-10420125ACD7}">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111E3E19-735B-474E-90AE-B87C90F729D8}">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59" authorId="1" shapeId="0" xr:uid="{C84116BB-59A9-454D-9E83-F7DC3FC54524}">
      <text>
        <r>
          <rPr>
            <sz val="12"/>
            <color rgb="FF000000"/>
            <rFont val="Calibri"/>
            <family val="2"/>
          </rPr>
          <t xml:space="preserve">Takaisinmaksuaika
</t>
        </r>
      </text>
    </comment>
    <comment ref="S59" authorId="1" shapeId="0" xr:uid="{27350314-55E2-4CF2-926E-B4E4B074BC0F}">
      <text>
        <r>
          <rPr>
            <sz val="12"/>
            <color rgb="FF000000"/>
            <rFont val="Calibri"/>
            <family val="2"/>
          </rPr>
          <t>Nettonykyarvo</t>
        </r>
      </text>
    </comment>
    <comment ref="D65" authorId="0" shapeId="0" xr:uid="{1711FF6C-0A2D-455C-9AD6-4FBB9DB521C9}">
      <text>
        <r>
          <rPr>
            <b/>
            <sz val="9"/>
            <color indexed="81"/>
            <rFont val="Tahoma"/>
            <family val="2"/>
          </rPr>
          <t>Rummukainen Miika:</t>
        </r>
        <r>
          <rPr>
            <sz val="9"/>
            <color indexed="81"/>
            <rFont val="Tahoma"/>
            <family val="2"/>
          </rPr>
          <t xml:space="preserve">
Huom! Voi olla yksi, jos huomioitu esim. vuosituotaanossa jo.
</t>
        </r>
      </text>
    </comment>
    <comment ref="D68" authorId="0" shapeId="0" xr:uid="{C0359492-80E0-41E6-AF38-5050E6E9D3B6}">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69" authorId="0" shapeId="0" xr:uid="{522ED4E7-046A-497D-86A0-68CAE6A8707D}">
      <text>
        <r>
          <rPr>
            <b/>
            <sz val="9"/>
            <color indexed="81"/>
            <rFont val="Tahoma"/>
            <family val="2"/>
          </rPr>
          <t>Rummukainen Miika:</t>
        </r>
        <r>
          <rPr>
            <sz val="9"/>
            <color indexed="81"/>
            <rFont val="Tahoma"/>
            <family val="2"/>
          </rPr>
          <t xml:space="preserve">
VILP voidaan mitoittaa 75% huipputehon tarpeesta.</t>
        </r>
      </text>
    </comment>
    <comment ref="D70" authorId="0" shapeId="0" xr:uid="{40FD8D7E-3847-40CE-85EC-93EB128E54E5}">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3" authorId="0" shapeId="0" xr:uid="{33AE4B9D-1321-4EC6-9EA4-2E69070D9055}">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4" authorId="0" shapeId="0" xr:uid="{9BB02D6D-3DCE-4FAD-A949-4EEC967565DD}">
      <text>
        <r>
          <rPr>
            <b/>
            <sz val="9"/>
            <color indexed="81"/>
            <rFont val="Tahoma"/>
            <family val="2"/>
          </rPr>
          <t>Rummukainen Miika:</t>
        </r>
        <r>
          <rPr>
            <sz val="9"/>
            <color indexed="81"/>
            <rFont val="Tahoma"/>
            <family val="2"/>
          </rPr>
          <t xml:space="preserve">
Esim. lämpöpumpun kuluttama sähkö elinkaaren aikana.
</t>
        </r>
      </text>
    </comment>
    <comment ref="D77" authorId="1" shapeId="0" xr:uid="{A574286A-527E-4CF4-8031-BAAAB956290A}">
      <text>
        <r>
          <rPr>
            <sz val="12"/>
            <color rgb="FF000000"/>
            <rFont val="Calibri"/>
            <family val="2"/>
          </rPr>
          <t>Investoinnin sisäinen korkokanta saadaan säätämällä korkokanta niin että tämä luku on nolla.
 -Jouni Juntunen</t>
        </r>
      </text>
    </comment>
    <comment ref="D78" authorId="0" shapeId="0" xr:uid="{C154AC13-FAC4-4B13-AE98-077BD42EA2E8}">
      <text>
        <r>
          <rPr>
            <b/>
            <sz val="9"/>
            <color indexed="81"/>
            <rFont val="Tahoma"/>
            <family val="2"/>
          </rPr>
          <t>Rummukainen Miika:</t>
        </r>
        <r>
          <rPr>
            <sz val="9"/>
            <color indexed="81"/>
            <rFont val="Tahoma"/>
            <family val="2"/>
          </rPr>
          <t xml:space="preserve">
Tyypillisesti luokkaa 5-6 vuotta. Sulpu 7,5 vuotta</t>
        </r>
      </text>
    </comment>
    <comment ref="D80" authorId="1" shapeId="0" xr:uid="{EA81FB6F-DEF4-4BBF-93D8-46C789C1C427}">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4" authorId="0" shapeId="0" xr:uid="{C5E3B7A4-2169-4F36-97DE-8898CFA1E285}">
      <text>
        <r>
          <rPr>
            <b/>
            <sz val="9"/>
            <color indexed="81"/>
            <rFont val="Tahoma"/>
            <family val="2"/>
          </rPr>
          <t>Rummukainen Miika:</t>
        </r>
        <r>
          <rPr>
            <sz val="9"/>
            <color indexed="81"/>
            <rFont val="Tahoma"/>
            <family val="2"/>
          </rPr>
          <t xml:space="preserve">
Suomen keskimääräinen ostosähkö. Tarkista omalta energiatoimittajalta!</t>
        </r>
      </text>
    </comment>
    <comment ref="D85" authorId="0" shapeId="0" xr:uid="{B2EFAAA5-5277-46A6-95E3-CCD6B56385AA}">
      <text>
        <r>
          <rPr>
            <b/>
            <sz val="9"/>
            <color indexed="81"/>
            <rFont val="Tahoma"/>
            <family val="2"/>
          </rPr>
          <t>Rummukainen Miika:</t>
        </r>
        <r>
          <rPr>
            <sz val="9"/>
            <color indexed="81"/>
            <rFont val="Tahoma"/>
            <family val="2"/>
          </rPr>
          <t xml:space="preserve">
Kaukolämmön yhteistuotanto. Tarkista omalta energiatoimittajalta!</t>
        </r>
      </text>
    </comment>
    <comment ref="D86" authorId="0" shapeId="0" xr:uid="{FC47E304-A229-4B0A-9D78-FF9030E9C407}">
      <text>
        <r>
          <rPr>
            <b/>
            <sz val="9"/>
            <color indexed="81"/>
            <rFont val="Tahoma"/>
            <family val="2"/>
          </rPr>
          <t>Rummukainen Miika:</t>
        </r>
        <r>
          <rPr>
            <sz val="9"/>
            <color indexed="81"/>
            <rFont val="Tahoma"/>
            <family val="2"/>
          </rPr>
          <t xml:space="preserve">
Kevyt polttoöljy,
lämpöarvo 11,85 kWh/l</t>
        </r>
      </text>
    </comment>
    <comment ref="D87" authorId="0" shapeId="0" xr:uid="{630DFF00-EE68-48B7-B85F-8B15BA908FD7}">
      <text>
        <r>
          <rPr>
            <b/>
            <sz val="9"/>
            <color indexed="81"/>
            <rFont val="Tahoma"/>
            <family val="2"/>
          </rPr>
          <t>Rummukainen Miika:</t>
        </r>
        <r>
          <rPr>
            <sz val="9"/>
            <color indexed="81"/>
            <rFont val="Tahoma"/>
            <family val="2"/>
          </rPr>
          <t xml:space="preserve">
Säästetty energiamäärä x päästökerroin</t>
        </r>
      </text>
    </comment>
    <comment ref="D88" authorId="0" shapeId="0" xr:uid="{BF47D814-91B4-4733-8B12-795ABE9FF28E}">
      <text>
        <r>
          <rPr>
            <b/>
            <sz val="9"/>
            <color indexed="81"/>
            <rFont val="Tahoma"/>
            <family val="2"/>
          </rPr>
          <t>Rummukainen Miika:</t>
        </r>
        <r>
          <rPr>
            <sz val="9"/>
            <color indexed="81"/>
            <rFont val="Tahoma"/>
            <family val="2"/>
          </rPr>
          <t xml:space="preserve">
Säästetty energiamäärä x päästökerroin</t>
        </r>
      </text>
    </comment>
    <comment ref="D92" authorId="0" shapeId="0" xr:uid="{57F16A96-F3BB-4F92-BD6B-E766574F336A}">
      <text>
        <r>
          <rPr>
            <b/>
            <sz val="9"/>
            <color indexed="81"/>
            <rFont val="Tahoma"/>
            <family val="2"/>
          </rPr>
          <t>Rummukainen Miika:</t>
        </r>
        <r>
          <rPr>
            <sz val="9"/>
            <color indexed="81"/>
            <rFont val="Tahoma"/>
            <family val="2"/>
          </rPr>
          <t xml:space="preserve">
Jota lämpöpumppuenergia korvaa tai täydentää
</t>
        </r>
      </text>
    </comment>
    <comment ref="E92" authorId="0" shapeId="0" xr:uid="{BFDA1573-790A-4726-B9EB-93A057A5C343}">
      <text>
        <r>
          <rPr>
            <b/>
            <sz val="9"/>
            <color indexed="81"/>
            <rFont val="Tahoma"/>
            <family val="2"/>
          </rPr>
          <t>Rummukainen Miika:</t>
        </r>
        <r>
          <rPr>
            <sz val="9"/>
            <color indexed="81"/>
            <rFont val="Tahoma"/>
            <family val="2"/>
          </rPr>
          <t xml:space="preserve">
Jos ei hintaa, niin laita 0 €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AE5419EA-E86E-4069-9D23-8E5BD612D48D}">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609C7BD8-75CF-4F2A-A0D2-35C954F80802}">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8DE3DB7-2959-45CC-AF86-04982D9B1385}">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65885661-F9C0-4960-80BC-9ED2B3B706A3}">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050C21FC-D53B-45B7-8E85-4B5E59B8DFF0}">
      <text>
        <r>
          <rPr>
            <b/>
            <sz val="9"/>
            <color indexed="81"/>
            <rFont val="Tahoma"/>
            <family val="2"/>
          </rPr>
          <t>Rummukainen Miika:</t>
        </r>
        <r>
          <rPr>
            <sz val="9"/>
            <color indexed="81"/>
            <rFont val="Tahoma"/>
            <family val="2"/>
          </rPr>
          <t xml:space="preserve">
Korvattu arvo, huomioidaan kannattavuuslaskelmissa</t>
        </r>
      </text>
    </comment>
    <comment ref="D14" authorId="0" shapeId="0" xr:uid="{595A87BC-1122-4B13-8549-6EB82E6D9D73}">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475B1AAD-3354-404B-81DD-AEE641937FDF}">
      <text>
        <r>
          <rPr>
            <b/>
            <sz val="9"/>
            <color indexed="81"/>
            <rFont val="Tahoma"/>
            <family val="2"/>
          </rPr>
          <t>Rummukainen Miika:</t>
        </r>
        <r>
          <rPr>
            <sz val="9"/>
            <color indexed="81"/>
            <rFont val="Tahoma"/>
            <family val="2"/>
          </rPr>
          <t xml:space="preserve">
Esim. tyypillisiä: COP MLP 3,20.
 </t>
        </r>
      </text>
    </comment>
    <comment ref="D19" authorId="0" shapeId="0" xr:uid="{1F34FC1F-3180-4F6C-A715-357E031E9CE3}">
      <text>
        <r>
          <rPr>
            <b/>
            <sz val="9"/>
            <color indexed="81"/>
            <rFont val="Tahoma"/>
            <family val="2"/>
          </rPr>
          <t xml:space="preserve">Rummukainen Miika:
</t>
        </r>
        <r>
          <rPr>
            <sz val="9"/>
            <color indexed="81"/>
            <rFont val="Tahoma"/>
            <family val="2"/>
          </rPr>
          <t>Lähde esim. www.sulpu.fi: MLP (14000…20000€) mitoitettavissa 10500kWh/vuosi säästöön energiankulutuksessa kohteessa jossa 25000 kWH (sähköä lämmitykseen) tai 3000l öljy kulutus.
Arvio, josta esim. MLP kaivojen poraus 6500 €, MLP asennus 500 … 700 €.
Huom! Lähtötietoina hinnat joko "sis alv 0%" = yritykset, kunnat tai "veroineen" =  kuluttajat.</t>
        </r>
      </text>
    </comment>
    <comment ref="D20" authorId="0" shapeId="0" xr:uid="{1012F041-D6D2-453A-B4EA-98CB6DFDB0C9}">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Business Finland energiatuki:
Energiatukea eivät saa: asunto-osakeyhtiöt, asuinkiinteistöt, maatilat, ...
Lämpöpumppuhankkeet * 15 %
Aurinkosähköhankkeet 1.5.2019 alkaen 20 %
Uuden teknologian hankkeet enintään 40%</t>
        </r>
      </text>
    </comment>
    <comment ref="D21" authorId="0" shapeId="0" xr:uid="{0455B757-8CC0-4B65-A90B-F5E6F4B6C260}">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9A540209-5E0B-480A-A75F-3D7494A8658E}">
      <text>
        <r>
          <rPr>
            <sz val="12"/>
            <color rgb="FF000000"/>
            <rFont val="Calibri"/>
            <family val="2"/>
          </rPr>
          <t xml:space="preserve"> Huom! Tuotto-odotus vain tapauksissa, kun sijoitetaan aurinkovoimaan muutoin kuin omaan käyttöön (useimmiten). Tyypillisesti luokkaa 2%.</t>
        </r>
      </text>
    </comment>
    <comment ref="D24" authorId="0" shapeId="0" xr:uid="{025F8C3E-1379-4598-A679-BED472481403}">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CB425FC9-71CA-4462-8A5F-C25C7ABB9B49}">
      <text>
        <r>
          <rPr>
            <b/>
            <sz val="9"/>
            <color indexed="81"/>
            <rFont val="Tahoma"/>
            <family val="2"/>
          </rPr>
          <t>Rummukainen Miika:</t>
        </r>
        <r>
          <rPr>
            <sz val="9"/>
            <color indexed="81"/>
            <rFont val="Tahoma"/>
            <family val="2"/>
          </rPr>
          <t xml:space="preserve">
Esim. MLP huolto 220€, IVLP 220€, PILP 200€, ILP 180€. Esim. kompressori, lämpökaivot, liuokset.
Elinkaaren vuosittaiset ja kertaluonteist kulut lasketaan yhteen ja jaetaan elinkaaren kestolla (vuotta).
Huom! Lähtötietoina hinnat joko "sis alv 0%" = yritykset, kunnat tai "veroineen" =  kuluttajat.</t>
        </r>
      </text>
    </comment>
    <comment ref="D27" authorId="0" shapeId="0" xr:uid="{7DB34002-8548-4FD9-9BA3-A080305A7807}">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82D5701-3B5F-4B79-9E79-FD1067C5B066}">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E1BC0D37-CB4D-4592-9374-9A0CC958DE7D}">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64" authorId="1" shapeId="0" xr:uid="{BACC4149-9967-4453-BB1A-AACEE81F9FF2}">
      <text>
        <r>
          <rPr>
            <sz val="12"/>
            <color rgb="FF000000"/>
            <rFont val="Calibri"/>
            <family val="2"/>
          </rPr>
          <t xml:space="preserve">Takaisinmaksuaika
</t>
        </r>
      </text>
    </comment>
    <comment ref="S64" authorId="1" shapeId="0" xr:uid="{460858E1-844A-4DAD-AE7B-A6C6EB9A5BDC}">
      <text>
        <r>
          <rPr>
            <sz val="12"/>
            <color rgb="FF000000"/>
            <rFont val="Calibri"/>
            <family val="2"/>
          </rPr>
          <t>Nettonykyarvo</t>
        </r>
      </text>
    </comment>
    <comment ref="D70" authorId="0" shapeId="0" xr:uid="{96D1CAC2-317D-47C5-80C8-9A9D47B5DBE1}">
      <text>
        <r>
          <rPr>
            <b/>
            <sz val="9"/>
            <color indexed="81"/>
            <rFont val="Tahoma"/>
            <family val="2"/>
          </rPr>
          <t>Rummukainen Miika:</t>
        </r>
        <r>
          <rPr>
            <sz val="9"/>
            <color indexed="81"/>
            <rFont val="Tahoma"/>
            <family val="2"/>
          </rPr>
          <t xml:space="preserve">
Huom! Voi olla yksi, jos huomioitu esim. vuosituotaanossa jo.
</t>
        </r>
      </text>
    </comment>
    <comment ref="D73" authorId="0" shapeId="0" xr:uid="{F6E6D998-4444-4F6C-ADA8-91EBEA78EEBF}">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74" authorId="0" shapeId="0" xr:uid="{1342885F-0746-4885-B73A-0350D9DB21AA}">
      <text>
        <r>
          <rPr>
            <b/>
            <sz val="9"/>
            <color indexed="81"/>
            <rFont val="Tahoma"/>
            <family val="2"/>
          </rPr>
          <t>Rummukainen Miika:</t>
        </r>
        <r>
          <rPr>
            <sz val="9"/>
            <color indexed="81"/>
            <rFont val="Tahoma"/>
            <family val="2"/>
          </rPr>
          <t xml:space="preserve">
MLP voidaan mitoittaa 95-97% huipputehon tarpeesta,
IVLP voidaan mitoittaa 75% huipputehon tarpeesta.</t>
        </r>
      </text>
    </comment>
    <comment ref="D75" authorId="0" shapeId="0" xr:uid="{3EB861E0-9F99-482A-A3A0-E75907994CEB}">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8" authorId="0" shapeId="0" xr:uid="{3DA311EA-6408-4B92-A839-E915884605F7}">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9" authorId="0" shapeId="0" xr:uid="{60DC39CD-5FD8-406C-B018-E3EEE94E0FFA}">
      <text>
        <r>
          <rPr>
            <b/>
            <sz val="9"/>
            <color indexed="81"/>
            <rFont val="Tahoma"/>
            <family val="2"/>
          </rPr>
          <t>Rummukainen Miika:</t>
        </r>
        <r>
          <rPr>
            <sz val="9"/>
            <color indexed="81"/>
            <rFont val="Tahoma"/>
            <family val="2"/>
          </rPr>
          <t xml:space="preserve">
Esim. lämpöpumpun kuluttama sähkö elinkaaren aikana.
</t>
        </r>
      </text>
    </comment>
    <comment ref="D82" authorId="1" shapeId="0" xr:uid="{6C70243D-82A7-403C-8DCE-33BC81BB04F0}">
      <text>
        <r>
          <rPr>
            <sz val="12"/>
            <color rgb="FF000000"/>
            <rFont val="Calibri"/>
            <family val="2"/>
          </rPr>
          <t>Investoinnin sisäinen korkokanta saadaan säätämällä korkokanta niin että tämä luku on nolla.
 -Jouni Juntunen</t>
        </r>
      </text>
    </comment>
    <comment ref="D83" authorId="0" shapeId="0" xr:uid="{917CE387-3FE1-46C2-80F2-AF2FAA7E3B01}">
      <text>
        <r>
          <rPr>
            <b/>
            <sz val="9"/>
            <color indexed="81"/>
            <rFont val="Tahoma"/>
            <family val="2"/>
          </rPr>
          <t>Rummukainen Miika:</t>
        </r>
        <r>
          <rPr>
            <sz val="9"/>
            <color indexed="81"/>
            <rFont val="Tahoma"/>
            <family val="2"/>
          </rPr>
          <t xml:space="preserve">
Tyypillisesti luokkaa 6-7 vuotta. Sulpu 8,5 vuotta</t>
        </r>
      </text>
    </comment>
    <comment ref="D85" authorId="1" shapeId="0" xr:uid="{D67DF680-6A85-44FC-8A47-8428414CB30E}">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9" authorId="0" shapeId="0" xr:uid="{D4559FF5-60DE-4229-AC60-92CBB8949224}">
      <text>
        <r>
          <rPr>
            <b/>
            <sz val="9"/>
            <color indexed="81"/>
            <rFont val="Tahoma"/>
            <family val="2"/>
          </rPr>
          <t>Rummukainen Miika:</t>
        </r>
        <r>
          <rPr>
            <sz val="9"/>
            <color indexed="81"/>
            <rFont val="Tahoma"/>
            <family val="2"/>
          </rPr>
          <t xml:space="preserve">
Suomen keskimääräinen ostosähkö. Tarkista omalta energiatoimittajalta!</t>
        </r>
      </text>
    </comment>
    <comment ref="D90" authorId="0" shapeId="0" xr:uid="{463C7AFF-486E-43D6-BA6C-C28155342AE7}">
      <text>
        <r>
          <rPr>
            <b/>
            <sz val="9"/>
            <color indexed="81"/>
            <rFont val="Tahoma"/>
            <family val="2"/>
          </rPr>
          <t>Rummukainen Miika:</t>
        </r>
        <r>
          <rPr>
            <sz val="9"/>
            <color indexed="81"/>
            <rFont val="Tahoma"/>
            <family val="2"/>
          </rPr>
          <t xml:space="preserve">
Kaukolämmön yhteistuotanto. Tarkista omalta energiatoimittajalta!</t>
        </r>
      </text>
    </comment>
    <comment ref="D91" authorId="0" shapeId="0" xr:uid="{456CC7FC-4D6C-439E-BC89-C96EAFC3571A}">
      <text>
        <r>
          <rPr>
            <b/>
            <sz val="9"/>
            <color indexed="81"/>
            <rFont val="Tahoma"/>
            <family val="2"/>
          </rPr>
          <t>Rummukainen Miika:</t>
        </r>
        <r>
          <rPr>
            <sz val="9"/>
            <color indexed="81"/>
            <rFont val="Tahoma"/>
            <family val="2"/>
          </rPr>
          <t xml:space="preserve">
Kevyt polttoöljy,
lämpöarvo 11,85 kWh/l</t>
        </r>
      </text>
    </comment>
    <comment ref="D92" authorId="0" shapeId="0" xr:uid="{9E47D571-AECF-4F82-B3E9-2F0310B8AA1F}">
      <text>
        <r>
          <rPr>
            <b/>
            <sz val="9"/>
            <color indexed="81"/>
            <rFont val="Tahoma"/>
            <family val="2"/>
          </rPr>
          <t>Rummukainen Miika:</t>
        </r>
        <r>
          <rPr>
            <sz val="9"/>
            <color indexed="81"/>
            <rFont val="Tahoma"/>
            <family val="2"/>
          </rPr>
          <t xml:space="preserve">
Säästetty energiamäärä x päästökerroin</t>
        </r>
      </text>
    </comment>
    <comment ref="D93" authorId="0" shapeId="0" xr:uid="{ABC50F42-1A71-41B6-8F57-05F457072495}">
      <text>
        <r>
          <rPr>
            <b/>
            <sz val="9"/>
            <color indexed="81"/>
            <rFont val="Tahoma"/>
            <family val="2"/>
          </rPr>
          <t>Rummukainen Miika:</t>
        </r>
        <r>
          <rPr>
            <sz val="9"/>
            <color indexed="81"/>
            <rFont val="Tahoma"/>
            <family val="2"/>
          </rPr>
          <t xml:space="preserve">
Säästetty energiamäärä x päästökerroin</t>
        </r>
      </text>
    </comment>
    <comment ref="D97" authorId="0" shapeId="0" xr:uid="{F348648B-7885-4014-91E7-0DE9DF1F6B51}">
      <text>
        <r>
          <rPr>
            <b/>
            <sz val="9"/>
            <color indexed="81"/>
            <rFont val="Tahoma"/>
            <family val="2"/>
          </rPr>
          <t>Rummukainen Miika:</t>
        </r>
        <r>
          <rPr>
            <sz val="9"/>
            <color indexed="81"/>
            <rFont val="Tahoma"/>
            <family val="2"/>
          </rPr>
          <t xml:space="preserve">
Jota lämpöpumppuenergia korvaa tai täydentää
</t>
        </r>
      </text>
    </comment>
    <comment ref="E97" authorId="0" shapeId="0" xr:uid="{72897493-7014-498C-BF3A-BC18A1E1BCB7}">
      <text>
        <r>
          <rPr>
            <b/>
            <sz val="9"/>
            <color indexed="81"/>
            <rFont val="Tahoma"/>
            <family val="2"/>
          </rPr>
          <t>Rummukainen Miika:</t>
        </r>
        <r>
          <rPr>
            <sz val="9"/>
            <color indexed="81"/>
            <rFont val="Tahoma"/>
            <family val="2"/>
          </rPr>
          <t xml:space="preserve">
Jos ei hintaa, niin laita 0 €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731BB0DF-11EA-4E98-B744-271EFB9B4285}">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F6FBD2D4-4C02-43CA-A831-927187EB73E6}">
      <text>
        <r>
          <rPr>
            <b/>
            <sz val="9"/>
            <color indexed="81"/>
            <rFont val="Tahoma"/>
            <family val="2"/>
          </rPr>
          <t>Rummukainen Miika:</t>
        </r>
        <r>
          <rPr>
            <sz val="9"/>
            <color indexed="81"/>
            <rFont val="Tahoma"/>
            <family val="2"/>
          </rPr>
          <t xml:space="preserve">
Max. Laina-aika 20 vuotta.
</t>
        </r>
      </text>
    </comment>
    <comment ref="Q43" authorId="1" shapeId="0" xr:uid="{C2D4A805-23B9-48D2-ACAE-1CC2A1047524}">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422ABD9E-4DB5-420C-AC33-4218B611F523}">
      <text>
        <r>
          <rPr>
            <b/>
            <sz val="9"/>
            <color indexed="81"/>
            <rFont val="Tahoma"/>
            <family val="2"/>
          </rPr>
          <t>Rummukainen Miika:</t>
        </r>
        <r>
          <rPr>
            <sz val="9"/>
            <color indexed="81"/>
            <rFont val="Tahoma"/>
            <family val="2"/>
          </rPr>
          <t xml:space="preserve">
Invertterin vaihto</t>
        </r>
      </text>
    </comment>
    <comment ref="R75" authorId="1" shapeId="0" xr:uid="{6B52A2F2-3171-49DC-AE94-9D259C1E4A64}">
      <text>
        <r>
          <rPr>
            <sz val="12"/>
            <color rgb="FF000000"/>
            <rFont val="Calibri"/>
            <family val="2"/>
          </rPr>
          <t xml:space="preserve">Takaisinmaksuaika
</t>
        </r>
      </text>
    </comment>
    <comment ref="E80" authorId="0" shapeId="0" xr:uid="{446E4163-EDF0-424A-95D0-E08EECCAC6DA}">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625C05ED-B9B7-4279-912E-809C7B5867ED}">
      <text>
        <r>
          <rPr>
            <b/>
            <sz val="9"/>
            <color indexed="81"/>
            <rFont val="Tahoma"/>
            <family val="2"/>
          </rPr>
          <t>Rummukainen Miika:</t>
        </r>
        <r>
          <rPr>
            <sz val="9"/>
            <color indexed="81"/>
            <rFont val="Tahoma"/>
            <family val="2"/>
          </rPr>
          <t xml:space="preserve">
Suomen keskimääräinen ostosähkö</t>
        </r>
      </text>
    </comment>
    <comment ref="D88" authorId="0" shapeId="0" xr:uid="{6FCA78B1-4B0F-424D-ADEA-DF326CDC596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824D702C-C272-470D-A625-D3D1FF82B19B}">
      <text>
        <r>
          <rPr>
            <b/>
            <sz val="9"/>
            <color indexed="81"/>
            <rFont val="Tahoma"/>
            <family val="2"/>
          </rPr>
          <t>Rummukainen Miika:</t>
        </r>
        <r>
          <rPr>
            <sz val="9"/>
            <color indexed="81"/>
            <rFont val="Tahoma"/>
            <family val="2"/>
          </rPr>
          <t xml:space="preserve">
Kevyt polttoöljy,
lämpöarvo 11,85 kWh/l</t>
        </r>
      </text>
    </comment>
    <comment ref="D90" authorId="0" shapeId="0" xr:uid="{A386EA75-05EF-4927-A619-38E34FECE762}">
      <text>
        <r>
          <rPr>
            <b/>
            <sz val="9"/>
            <color indexed="81"/>
            <rFont val="Tahoma"/>
            <family val="2"/>
          </rPr>
          <t>Rummukainen Miika:</t>
        </r>
        <r>
          <rPr>
            <sz val="9"/>
            <color indexed="81"/>
            <rFont val="Tahoma"/>
            <family val="2"/>
          </rPr>
          <t xml:space="preserve">
Säästetty energiamäärä x päästökerroin</t>
        </r>
      </text>
    </comment>
    <comment ref="D91" authorId="0" shapeId="0" xr:uid="{72EFD686-A0FF-4E32-8ED1-0267A601A931}">
      <text>
        <r>
          <rPr>
            <b/>
            <sz val="9"/>
            <color indexed="81"/>
            <rFont val="Tahoma"/>
            <family val="2"/>
          </rPr>
          <t>Rummukainen Miika:</t>
        </r>
        <r>
          <rPr>
            <sz val="9"/>
            <color indexed="81"/>
            <rFont val="Tahoma"/>
            <family val="2"/>
          </rPr>
          <t xml:space="preserve">
Säästetty energiamäärä x päästökerroin</t>
        </r>
      </text>
    </comment>
    <comment ref="D101" authorId="1" shapeId="0" xr:uid="{03F43411-24BC-45D7-91C7-DB18100EB709}">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0C464E2C-DA40-4DC5-BD92-94B86CF8C733}">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7E8F291-0101-4828-9430-015DAC5CDA81}">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D6F09BC8-FF32-4E7B-99C2-4507312EFF81}">
      <text>
        <r>
          <rPr>
            <b/>
            <sz val="9"/>
            <color indexed="81"/>
            <rFont val="Tahoma"/>
            <family val="2"/>
          </rPr>
          <t>Rummukainen Miika:</t>
        </r>
        <r>
          <rPr>
            <sz val="9"/>
            <color indexed="81"/>
            <rFont val="Tahoma"/>
            <family val="2"/>
          </rPr>
          <t xml:space="preserve">
Max. Laina-aika 20 vuotta.
</t>
        </r>
      </text>
    </comment>
    <comment ref="Q43" authorId="1" shapeId="0" xr:uid="{88EA4D6A-E970-4186-B33A-5EDC9B6A54EF}">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D3BE0CC6-8698-41CF-AA44-80C650A3F40A}">
      <text>
        <r>
          <rPr>
            <b/>
            <sz val="9"/>
            <color indexed="81"/>
            <rFont val="Tahoma"/>
            <family val="2"/>
          </rPr>
          <t>Rummukainen Miika:</t>
        </r>
        <r>
          <rPr>
            <sz val="9"/>
            <color indexed="81"/>
            <rFont val="Tahoma"/>
            <family val="2"/>
          </rPr>
          <t xml:space="preserve">
Invertterin vaihto</t>
        </r>
      </text>
    </comment>
    <comment ref="R75" authorId="1" shapeId="0" xr:uid="{FFD959E8-6768-4825-9423-7A05825CF007}">
      <text>
        <r>
          <rPr>
            <sz val="12"/>
            <color rgb="FF000000"/>
            <rFont val="Calibri"/>
            <family val="2"/>
          </rPr>
          <t xml:space="preserve">Takaisinmaksuaika
</t>
        </r>
      </text>
    </comment>
    <comment ref="E80" authorId="0" shapeId="0" xr:uid="{00D51EDD-E73A-497D-8D68-3298CBAFE09C}">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FE9BF8E2-31FB-4F84-A98E-7F0C4191A588}">
      <text>
        <r>
          <rPr>
            <b/>
            <sz val="9"/>
            <color indexed="81"/>
            <rFont val="Tahoma"/>
            <family val="2"/>
          </rPr>
          <t>Rummukainen Miika:</t>
        </r>
        <r>
          <rPr>
            <sz val="9"/>
            <color indexed="81"/>
            <rFont val="Tahoma"/>
            <family val="2"/>
          </rPr>
          <t xml:space="preserve">
Suomen keskimääräinen ostosähkö</t>
        </r>
      </text>
    </comment>
    <comment ref="D88" authorId="0" shapeId="0" xr:uid="{B05558B0-D5A8-41BC-9559-697200FBDA7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B7FBAD4D-D03E-441F-9DEC-71F6B42F6B95}">
      <text>
        <r>
          <rPr>
            <b/>
            <sz val="9"/>
            <color indexed="81"/>
            <rFont val="Tahoma"/>
            <family val="2"/>
          </rPr>
          <t>Rummukainen Miika:</t>
        </r>
        <r>
          <rPr>
            <sz val="9"/>
            <color indexed="81"/>
            <rFont val="Tahoma"/>
            <family val="2"/>
          </rPr>
          <t xml:space="preserve">
Kevyt polttoöljy,
lämpöarvo 11,85 kWh/l</t>
        </r>
      </text>
    </comment>
    <comment ref="D90" authorId="0" shapeId="0" xr:uid="{DF879162-318C-4384-8908-212408EBCCA7}">
      <text>
        <r>
          <rPr>
            <b/>
            <sz val="9"/>
            <color indexed="81"/>
            <rFont val="Tahoma"/>
            <family val="2"/>
          </rPr>
          <t>Rummukainen Miika:</t>
        </r>
        <r>
          <rPr>
            <sz val="9"/>
            <color indexed="81"/>
            <rFont val="Tahoma"/>
            <family val="2"/>
          </rPr>
          <t xml:space="preserve">
Säästetty energiamäärä x päästökerroin</t>
        </r>
      </text>
    </comment>
    <comment ref="D91" authorId="0" shapeId="0" xr:uid="{52BE3115-8070-433F-BD49-045377BA29E7}">
      <text>
        <r>
          <rPr>
            <b/>
            <sz val="9"/>
            <color indexed="81"/>
            <rFont val="Tahoma"/>
            <family val="2"/>
          </rPr>
          <t>Rummukainen Miika:</t>
        </r>
        <r>
          <rPr>
            <sz val="9"/>
            <color indexed="81"/>
            <rFont val="Tahoma"/>
            <family val="2"/>
          </rPr>
          <t xml:space="preserve">
Säästetty energiamäärä x päästökerroin</t>
        </r>
      </text>
    </comment>
    <comment ref="D101" authorId="1" shapeId="0" xr:uid="{4EBA7361-4FDE-4081-A061-D050D5E7BBD2}">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B6671C57-D449-492E-8063-D93FE009C046}">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<sst xmlns="http://schemas.openxmlformats.org/spreadsheetml/2006/main" count="792" uniqueCount="279">
  <si>
    <t>Aurinkosähköjärjestelmän kannattavuuden laskemiseksi täytä lähtötiedot punaisiin soluihin, jotka ovat välttämättömiä lähtötietoja:</t>
  </si>
  <si>
    <t>Tarkempien ja luotettavampien laskelmien laatimiseksi täytä tiedot myös sinisiin soluihin:</t>
  </si>
  <si>
    <t>Sähköenergian ostohinta</t>
  </si>
  <si>
    <t>snt/kWh</t>
  </si>
  <si>
    <t xml:space="preserve"> </t>
  </si>
  <si>
    <t>Sähkövero ja huoltovarmuusmaksu</t>
  </si>
  <si>
    <t>Lähde:</t>
  </si>
  <si>
    <t>Ostosähkön arvonlisävero</t>
  </si>
  <si>
    <t>%</t>
  </si>
  <si>
    <t>www.energia.fi</t>
  </si>
  <si>
    <t>kWh/v</t>
  </si>
  <si>
    <t xml:space="preserve">Aurinkosähköjärjestelmän koko tehona Wp </t>
  </si>
  <si>
    <t>kWp</t>
  </si>
  <si>
    <t>Välitulos: järjestelmän koko paneelien pinta-alana noin m2</t>
  </si>
  <si>
    <t>neliömetriä</t>
  </si>
  <si>
    <t>euroa</t>
  </si>
  <si>
    <t xml:space="preserve">Välitulos: Järjestelmän vertailuhinta ilman tukia </t>
  </si>
  <si>
    <t>euroa/kWp</t>
  </si>
  <si>
    <t>www.vero.fi</t>
  </si>
  <si>
    <t>www.businessfinland.fi</t>
  </si>
  <si>
    <t>www.ara.fi</t>
  </si>
  <si>
    <t>Oma mainos-, brändi- tai ympäristötuki investoinnille €</t>
  </si>
  <si>
    <t xml:space="preserve">Välitulos: Järjestelmän investointikustannus sisältäen mahdolliset tuet € </t>
  </si>
  <si>
    <t>Investoinnin tuottovaatimus</t>
  </si>
  <si>
    <t>Invertterin vaihdon kustannus, osuus alkuinvestoinnista. Oletettu tapahtuvan kerran aurinkosähköjärjestelmän elinaikana 15. vuotena.</t>
  </si>
  <si>
    <t>kWh/kWp</t>
  </si>
  <si>
    <t>Lähde: Suomen säteilykartta. Saatavissa: http://re.jrc.ec.europa.eu/pvgis/cmaps/eu_cmsaf_opt/G_opt_FI.pdf</t>
  </si>
  <si>
    <t>kWh</t>
  </si>
  <si>
    <t>Aurinkovoimalan vuosittainen sähköntuotannon vähenemä %/v</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</si>
  <si>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</si>
  <si>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Järjestelmän elinikä vuosina</t>
  </si>
  <si>
    <t>Kassavirta €/v</t>
  </si>
  <si>
    <t>Investoinnin kumulatiivinen tuotto €/v (0% korko)</t>
  </si>
  <si>
    <t>Investoinnin nettonykyarvoja (NPV) valitulla laskentakorolla</t>
  </si>
  <si>
    <t>YHTEENSÄ</t>
  </si>
  <si>
    <r>
      <rPr>
        <b/>
        <sz val="12"/>
        <color rgb="FF000000"/>
        <rFont val="Calibri"/>
        <family val="2"/>
      </rPr>
      <t>Yhteenveto</t>
    </r>
    <r>
      <rPr>
        <b/>
        <sz val="12"/>
        <color rgb="FF000000"/>
        <rFont val="Calibri"/>
        <family val="2"/>
      </rPr>
      <t>: investoinnin tuotto- ja kannattavuuslaskelmat</t>
    </r>
  </si>
  <si>
    <t>Takaisinmaksuaika laskentakorolla</t>
  </si>
  <si>
    <t>vuotta</t>
  </si>
  <si>
    <t>Investoinnin sisäinen korkokanta käyttöiän aikana</t>
  </si>
  <si>
    <t>Vertaa:</t>
  </si>
  <si>
    <t>Aurinkosähkön omakustannushinta 30 vuoden pitoajalla</t>
  </si>
  <si>
    <t xml:space="preserve">Arvioitu ostosähkön keskimääräinen hinta 30 vuoden aikana </t>
  </si>
  <si>
    <t xml:space="preserve">snt/kWh </t>
  </si>
  <si>
    <t>Aurinkosähkön käyttö</t>
  </si>
  <si>
    <t xml:space="preserve">Skenaariot: </t>
  </si>
  <si>
    <t>omaan kulutukseen</t>
  </si>
  <si>
    <t>Lämpöpumppujärjestelmän kannattavuuden laskemiseksi ja mitoittamiseksi tarkista ja täytä lähtötiedot punaisiin soluihin, jotka ovat välttämättömiä lähtötietoja:</t>
  </si>
  <si>
    <t>€/MWh</t>
  </si>
  <si>
    <t>Investointituki, % alkuinvestoinnista</t>
  </si>
  <si>
    <t>Oma kiinteistöarvo-, brändi- tai ympäristötuki investoinnille</t>
  </si>
  <si>
    <t>Tarkista ja täytä lähtötiedot punaisiin soluihin!</t>
  </si>
  <si>
    <t>Järjestelmän mitoittamiseksi täytä tarkemmat tiedot sinisiin soluihin!</t>
  </si>
  <si>
    <t>Täytä kohteen kk-kohtainen lämmön-kulutus kWh</t>
  </si>
  <si>
    <t>Lämmön-lähteen hinta €/MWh</t>
  </si>
  <si>
    <t>Ylijäämä-lämmön myyntihinta €/MWh</t>
  </si>
  <si>
    <t>Lämpö-pumpun tuotanto kWh</t>
  </si>
  <si>
    <t>Lämmön ylijäämä tai myyntiin menevä määrä kWh</t>
  </si>
  <si>
    <t>Lämpöä omaan käyttöön kWh</t>
  </si>
  <si>
    <t>Lämmön oman käytön arvo €</t>
  </si>
  <si>
    <t>Lämmön myynti-tulot tai ylijäämän arvo €</t>
  </si>
  <si>
    <t>Muun lämmön osto- tai tuotantotarve kWh</t>
  </si>
  <si>
    <t>Muun sähkön osto-tai tuotantotarve kWh /COP</t>
  </si>
  <si>
    <t>Tammikuu</t>
  </si>
  <si>
    <t>Helmikuu</t>
  </si>
  <si>
    <t>Maaliskuu</t>
  </si>
  <si>
    <t>Huhtikuu</t>
  </si>
  <si>
    <t>Toukokuu</t>
  </si>
  <si>
    <t>Kesäkuu</t>
  </si>
  <si>
    <t>Heinäkuu</t>
  </si>
  <si>
    <t>Elokuu</t>
  </si>
  <si>
    <t>Syyskuu</t>
  </si>
  <si>
    <t>Lokakuu</t>
  </si>
  <si>
    <t>Marraskuu</t>
  </si>
  <si>
    <t>Joulukuu</t>
  </si>
  <si>
    <t>YHTEENSÄ VUODESSA</t>
  </si>
  <si>
    <t>VUODESSA KESKIMÄÄRIN</t>
  </si>
  <si>
    <t>Oletusarvoja ja välituloksia:</t>
  </si>
  <si>
    <t>Uuden lämpöjärjestelmän vuosituotto</t>
  </si>
  <si>
    <t>Järjestelmän hyötysuhde</t>
  </si>
  <si>
    <t xml:space="preserve">  </t>
  </si>
  <si>
    <t>Lämmön myynnin tai ylijäämän osuus % vuodessa</t>
  </si>
  <si>
    <t>Kiinteistön lämmmönkulutus yhteensä vuodessa</t>
  </si>
  <si>
    <t xml:space="preserve">kWh </t>
  </si>
  <si>
    <t>Lämpöpumppujärjestelmän vuosittainen energiantuotannon vähenemä %/v</t>
  </si>
  <si>
    <t>Investoinnin käyttöikä (elinkaari)</t>
  </si>
  <si>
    <t>v</t>
  </si>
  <si>
    <t>Lämpöpumppulämmön osuus lämmönkulutuksesta</t>
  </si>
  <si>
    <t>Muun sähkön ostotarve 20 vuoden elinkaaren aikana</t>
  </si>
  <si>
    <t>Kannattavuus</t>
  </si>
  <si>
    <t>Investoinnin nettonykyarvo eli kokonaistuotto tai -tappio käyttöiällä/elinkaari</t>
  </si>
  <si>
    <t xml:space="preserve">Takaisinmaksuaika </t>
  </si>
  <si>
    <t>Päästöarvot</t>
  </si>
  <si>
    <t>Korvattavan ostoenergian päästökerroin (sähkö)</t>
  </si>
  <si>
    <t>gCO2/kWh</t>
  </si>
  <si>
    <t>www.ilmastolaskuri.fi</t>
  </si>
  <si>
    <t>Korvattavan ostoenergian päästökerroin (kaukolämpö)</t>
  </si>
  <si>
    <t>Korvattavan ostoenergian päästökerroin (polttoöljy)</t>
  </si>
  <si>
    <t>Päästövähennys per vuosi</t>
  </si>
  <si>
    <t>kgCO2/v</t>
  </si>
  <si>
    <t>Lämmön tuotto- ja talouslaskelmat elinkaaren aikana</t>
  </si>
  <si>
    <t>Oman lämmöntuotannon arvo ja myyntituotot €</t>
  </si>
  <si>
    <t>Takaisinmaksu-aika (sis. laskentakorko)</t>
  </si>
  <si>
    <t>Vaihtoehtoisen lämmön hinta €/MWh</t>
  </si>
  <si>
    <t>Myyntiin menevän ylijäämälämmön hinta €/MWh</t>
  </si>
  <si>
    <t>Hyödynnettävissä oleva energian tuotanto kWh (käyttö+myynti)</t>
  </si>
  <si>
    <t>Uuden järjestelmän kumulatiivinen kulu</t>
  </si>
  <si>
    <t>Lämmön käyttö</t>
  </si>
  <si>
    <t>Takaisinmaksuaika (tarkennettu)</t>
  </si>
  <si>
    <t>Muun lämmön ostotarve 20 vuoden elinkaaren aikana</t>
  </si>
  <si>
    <t>[Kohteen] energiajärjestelmien taloudelliset kannattavuuslaskelmat</t>
  </si>
  <si>
    <t>Korvattavan energian kulutus kohteessa vuodessa</t>
  </si>
  <si>
    <t>Tiedot järjestelmän asennuskohteesta ja vertailukustannuksista:</t>
  </si>
  <si>
    <t>Tiedot hankittavasta järjestelmästä ja sen investointikustannuksista:</t>
  </si>
  <si>
    <t xml:space="preserve">Arvio ostoenergian hinnan noususta % per vuosi </t>
  </si>
  <si>
    <t>Lämpöpumppujärjestelmän koko MW / lämpökerroin / COP / SCOP</t>
  </si>
  <si>
    <t>Laina järjestelmän hankkimiseksi</t>
  </si>
  <si>
    <t>Laina-aika</t>
  </si>
  <si>
    <t>Lainan korkokulu</t>
  </si>
  <si>
    <t>Investoinnin laskentakorko, tuottovaatimus</t>
  </si>
  <si>
    <t>Energian oman käytön osuus</t>
  </si>
  <si>
    <t>Päästövähennys per vuosi huomioiden mahd. sähkönkulutuksen muutos</t>
  </si>
  <si>
    <t>Järjestelmän sähkönkulutuksen muutoksen hinta per vuosi</t>
  </si>
  <si>
    <t>Järjestelmän päästövähennys vuodessa, kgCO2/v</t>
  </si>
  <si>
    <t>Huom!</t>
  </si>
  <si>
    <t>Tervetuloa käyttämään laskuria!</t>
  </si>
  <si>
    <t>Laskuri on Suomen ympäristökeskuksen (SYKE) kehittämä työkalu uusiutuvan energian järjestelmien laskemiseen.</t>
  </si>
  <si>
    <t>Laskurin lähteenä on käytetty www.finsolar.net hankkeessa kehitettyjä työkaluja.</t>
  </si>
  <si>
    <t xml:space="preserve">Laskuri on jaettu eri välilehdille järjestelmätyypeittäin. Kussakin on ohjeita/muistiinpanoja/lähteitä välilehden täyttämiseksi. Välilehdellä "Kohteen järjes. kannattavuus" laskuri kokoaa yhteen tuloksia. </t>
  </si>
  <si>
    <t>Versio</t>
  </si>
  <si>
    <t>Päiväys</t>
  </si>
  <si>
    <t>Järjestelmän kannattavuuden laskemiseksi ja mitoittamiseksi välttämättömiä lähtötietoja, tarkista ja täytä lähtötiedot punaisiin soluihin.</t>
  </si>
  <si>
    <t>Uuden järjestelmän vuosituotanto</t>
  </si>
  <si>
    <t>Laskuri on muokattu vuoden 2020 alkupuolella SYKEn työntekijöiden, Miika Rummukaisen ja Karoliina Auvisen toimesta SYKEn hankkeissa.</t>
  </si>
  <si>
    <t>[Kohteen tyyppitiedot]: Lähde:</t>
  </si>
  <si>
    <t>https://www.motiva.fi/files/17067/Pitkan_aikavalin_korjausrakentamisen_strategia_2020-2050.pdf</t>
  </si>
  <si>
    <t>Investoinnin nettonykyarvo eli kokonaistuotto tai -tappio käyttöiällä</t>
  </si>
  <si>
    <t>Sisäinen korkokanta käyttöiän aikana</t>
  </si>
  <si>
    <t>Kulutuksen korjaus huomioiden mahdollisen hyötysuhteen</t>
  </si>
  <si>
    <t>Korvattavan energian korjattu kulutus, esim öljylämmitys</t>
  </si>
  <si>
    <t>Yhtiövastikkeita maksavien asuntojen määrä (vain tayt)</t>
  </si>
  <si>
    <t>Muun lämmönkulutuksen hinta per vuosi</t>
  </si>
  <si>
    <t>Järjestelmän pitoaika vuosina</t>
  </si>
  <si>
    <t>Nykyjärjestelmän kustannukset: Energian hinta</t>
  </si>
  <si>
    <t>Nykyjärjestelmän kustannukset: Ylläpito- ja huolto</t>
  </si>
  <si>
    <t>Nykyjärjestelmän kustannukset: Yhteensä</t>
  </si>
  <si>
    <t>Investoinnin kertamaksu tai lainaerät</t>
  </si>
  <si>
    <t>Rahoituksen korkokulut €/v</t>
  </si>
  <si>
    <t>Lainasaldo</t>
  </si>
  <si>
    <t>Käsiraha, jos laina ei mitoitettu koko investoinnille</t>
  </si>
  <si>
    <t>Ylläpito- ja huoltokulut eur/v</t>
  </si>
  <si>
    <t>Uuden järjestelmän kustannukset: Yhteensä</t>
  </si>
  <si>
    <t>Nykyjärjestelmän kumulatiivinen kulu</t>
  </si>
  <si>
    <t>Hyödynnettävän lämpöpumppulämmön tuotantohinta elinkaaren ajalla</t>
  </si>
  <si>
    <t>Lisenssi: CC 4.0</t>
  </si>
  <si>
    <t>Tiedot kiinteistön ostosähkön kustannuksista (aurinkosähköjärjestelmän vertailukustannukset):</t>
  </si>
  <si>
    <t>Vinkki: katso hinta sähkölaskusta</t>
  </si>
  <si>
    <t>Energiaperusteinen sähkön siirtohinta</t>
  </si>
  <si>
    <t>Vinkki: katso hinta sähkön siirtolaskusta</t>
  </si>
  <si>
    <t>Lähde:https://www.vero.fi/yritykset-ja-yhteisot/tietoa-yritysverotuksesta/valmisteverotus/sahko_ja_eraat_polttoaineet/sahkon_ja_eraiden_polttoaineiden_verota/</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</si>
  <si>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</si>
  <si>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</si>
  <si>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</si>
  <si>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</si>
  <si>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</si>
  <si>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Tiedot hankittavasta aurinkosähköjärjestelmästä:</t>
  </si>
  <si>
    <t xml:space="preserve">Aurinkosähköjärjestelmän koko tehona kWp </t>
  </si>
  <si>
    <t>Aurinkosähkön vuosituotto järjestelmän sijainnin mukaan</t>
  </si>
  <si>
    <t>Välitulos: aurinkosähköjärjestelmän vuosituotto alussa</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</si>
  <si>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</si>
  <si>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</si>
  <si>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</si>
  <si>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</si>
  <si>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</si>
  <si>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Mahdollinen investointituki, kotitalousvähennys tms. alkuinvestoinnista, %</t>
  </si>
  <si>
    <t>Lainan tai ulkopuolisen rahoituksen määrä</t>
  </si>
  <si>
    <t>Laina-aika tai rahoitussopimuksen pituus</t>
  </si>
  <si>
    <t>Lainan tai rahoituksen korko</t>
  </si>
  <si>
    <t>Välitulos: Lainan tai ulkopuolisen rahoituksen maksuerät/vuosi</t>
  </si>
  <si>
    <t>euroa/vuotta</t>
  </si>
  <si>
    <t>Tuottovaatimus ei ole tässä tapauksessa relevantti, koska investoinnilla vähennetään juoksevia kuluja, jotka eivät ole muutoin vältettävissä</t>
  </si>
  <si>
    <t xml:space="preserve">Yleensä 6-10% alkuinvestoinnista riippuen järjestelmän koosta: pienissä järjestelmissä osuus on suurempi ja suurissa järjestelmissä pienempi. </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</si>
  <si>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</si>
  <si>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</si>
  <si>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</si>
  <si>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</si>
  <si>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</si>
  <si>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</si>
  <si>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Aurinko- sähkön tuotanto kWh/v</t>
  </si>
  <si>
    <t>Ostosähkön hankinta- kustannus eur/kWh</t>
  </si>
  <si>
    <t>Aurinkosähkön tuotantoa vastaavan ostosähkön arvo eur/v</t>
  </si>
  <si>
    <t>Investoinnin kertamaksu tai lainaerät €/v</t>
  </si>
  <si>
    <t>Rahoituksen korkokulut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</si>
  <si>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</si>
  <si>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</si>
  <si>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</si>
  <si>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</si>
  <si>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</si>
  <si>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</si>
  <si>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</si>
  <si>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</si>
  <si>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Investoinnin nettonykyarvo 30 vuoden käyttöiällä</t>
  </si>
  <si>
    <t>Kiinteistön aurinkosähköjärjestelmän mitoituksen arvioimiseksi täytä lähtötiedot punaisiin soluihin:</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</si>
  <si>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</si>
  <si>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</si>
  <si>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</si>
  <si>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</si>
  <si>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</si>
  <si>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</si>
  <si>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</si>
  <si>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</si>
  <si>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</si>
  <si>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</si>
  <si>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</si>
  <si>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</si>
  <si>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</si>
  <si>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</si>
  <si>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</si>
  <si>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</si>
  <si>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</si>
  <si>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</si>
  <si>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</si>
  <si>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</si>
  <si>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</si>
  <si>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</si>
  <si>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</si>
  <si>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Aurinkosähkön ylijäämän osuus % vuosituotannosta, oletettu</t>
  </si>
  <si>
    <t>Yhteyshenkilö laskuria koskien: Miika Rummukainen, miika.rummukainen@ymparisto.fi</t>
  </si>
  <si>
    <t>Huom. kannattavuuslaskelmissa mahdollinen ylijäämäsähkön hinta, aurinkosähkön tuotantotuki, pientuotannon siirtomaksu käsittely.</t>
  </si>
  <si>
    <t>Järjestelmän päästövähennys vuodessa (päästökertoimet v. 2019), kgCO2/v</t>
  </si>
  <si>
    <r>
      <t xml:space="preserve">Järjestelmän kustannus tukien ja omien arvojen jälkeen. </t>
    </r>
    <r>
      <rPr>
        <sz val="11"/>
        <color rgb="FFFF0000"/>
        <rFont val="Calibri"/>
        <family val="2"/>
        <scheme val="minor"/>
      </rPr>
      <t>Huom! Valitse muistiinpanosta tukikaava!</t>
    </r>
  </si>
  <si>
    <t>Vuotuiset ylläpitokulut (vakuutukset, huolto tms. kulut)</t>
  </si>
  <si>
    <t>Ohje: Investointikustannus alla olevan taulukon solussa E46 (ks alla).</t>
  </si>
  <si>
    <t>Ohje: Investointikustannus yllä olevan taulukon solussa F38 (ks yllä).</t>
  </si>
  <si>
    <t>Kokemuksia, vertailutietoja esim.:</t>
  </si>
  <si>
    <t>Järjestelmän todellinen koko laskurissa, % tai kW</t>
  </si>
  <si>
    <t>Aurinkosähköjärjestelmän koko, 10 - 15 - 20% tai kW</t>
  </si>
  <si>
    <t>Huom. laskelmissa aurinkosähkö tulee pääasiallisesti omaan käyttöön, joten oletuksena on, että vaihtoehtoiskustannuksen nousu 0% ja investoinnin korko 0% neutraloivat toisensa.</t>
  </si>
  <si>
    <t>Järjestelmän kannattavuuden laskemiseksi ja mitoittamiseksi välttämättömiä oletustietoja tai tulostietoja, älä muokkaa näitä  mustia soluja!</t>
  </si>
  <si>
    <t>Kustannus-säästö vuodessa, €/v</t>
  </si>
  <si>
    <t>Kannattavuus takaisinmaksu-ajalla mitattuna, vuotta</t>
  </si>
  <si>
    <r>
      <t xml:space="preserve">Huom! Voit tehdä omia laskelmia, kun olet ladannut tiedoston omalle koneellesi. Lataa laskentataulukko omaan käyttöösi Excel-tiedostona kohdasta "File" -&gt; "Download as" -&gt; Excel. </t>
    </r>
    <r>
      <rPr>
        <i/>
        <sz val="12"/>
        <rFont val="Calibri"/>
        <family val="2"/>
      </rPr>
      <t>Laskentapohjassa on esimerkkinä 20 kW:n aurinkosähköjärjestelmän kannattavuuslaskelmat.</t>
    </r>
  </si>
  <si>
    <t>[Kohteen tyyppitiedot]: Opetusrakennuksen energian kulutus jakaantuu keskimäärin: ilmanvaihto 45%, ulkoseinät 10%, ikkunat 9%, yläpohja 7%, käyttövesi 2%, alapohja 1%, valaistus ja kuluttajasähkö 27% (lähde).</t>
  </si>
  <si>
    <t>Korvattavan energian kuluttajahinta sis alv 0%</t>
  </si>
  <si>
    <t>Sähkön ostohinta sis alv 0%</t>
  </si>
  <si>
    <t>Järjestelmän investointikustannus (laitteet ja asennus) sis alv 0%</t>
  </si>
  <si>
    <t>Lämmön ylijäämätuotannon myyntihinta verkkoon sis alv 0%</t>
  </si>
  <si>
    <t>Ylläpito- ja huoltokulut (keskim. vuosikulu elinkaaren aikana) sis alv 0%</t>
  </si>
  <si>
    <t>Järjestelmän avaimet käteen hinta, sis alv 0%</t>
  </si>
  <si>
    <t>Järjestelmän hinta laskurissa tukien jälkeen, sis alv 0%</t>
  </si>
  <si>
    <t>Huom. kannattavuuslaskelmissa ei ole huomioitu inflaatiota, kulutuksen ja tuotannon vuorokausivaihteluja.</t>
  </si>
  <si>
    <t>Huom! Lähtötiedot sähkönkokonaishinta 11,07158 snt/kWh (sis. alv 0 %).</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</si>
  <si>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10 kW:n aurinkosähköjärjestelmän kannattavuuslaskelmat.</t>
    </r>
  </si>
  <si>
    <t>Maalämpöpumppu järjestelmän koko, 95-97 % -&gt; 96-98% tai kW</t>
  </si>
  <si>
    <t>Sähkönkulutuslisä/v 22 400 kWh</t>
  </si>
  <si>
    <t>0.98</t>
  </si>
  <si>
    <t>[Kohde]: Kuntakohde, rakennusvuosi 199., pinta-ala 6.. m2.</t>
  </si>
  <si>
    <t>[Kohteen kulutustiedot]: Vuoden 20xx energiankulutus 10000 litra kevyt pö, hinta 0,80 per litra (sis. alv 0 %) ja kiinteistösähkö 70000 kWH, hinta 8,75 snt/kWh (sis. alv 0 %).</t>
  </si>
  <si>
    <t>kiinteistösähkö ja kulutussähkö</t>
  </si>
  <si>
    <t>Toimitettu HiilineutraaliSuomi -sivustolle kuntakohteen tarkentamiseksi.</t>
  </si>
  <si>
    <t>70%: …, 75%:…</t>
  </si>
  <si>
    <t>Sähkönkulutuslisä/v 24 000 kWh</t>
  </si>
  <si>
    <t>Sähkönkulutuslisä/v 24 500 kWh</t>
  </si>
  <si>
    <t>[Kohteen tyyppitiedot]: Lämmitysenergian kulutus kohteessa 143…166 kWh/m2 (ei asuinrakennukset, 1990-1999, keskikulutus 170 kWh/m2).</t>
  </si>
  <si>
    <t>Ilmavesilämpöpumppu järjestelmän koko, 50 - 70 - 75% -&gt; 90-95% tai kW</t>
  </si>
  <si>
    <t>10 kW, case MLP 96 %</t>
  </si>
  <si>
    <t>20 kW, case MLP 96 %</t>
  </si>
  <si>
    <t>96%: ..., 98%: …</t>
  </si>
  <si>
    <t>Kiinteistön lämpöpumppujärjestelmän kannattavuus- ja mitoituslaskuri (versio 9/2020). Tekijä(t) Miika Rummukainen ja Karoliina Auvinen, Suomen Ympäristökeskus SYKE</t>
  </si>
  <si>
    <t>Kiinteistön aurinkosähköjärjestelmän kannattavuuslaskuri (versio 9/2020)</t>
  </si>
  <si>
    <t>Huom. Yritykset ja kunnat sis ALV 0% ja kuluttajat hinnassa mukana ALV 25,5 %.</t>
  </si>
  <si>
    <t>Rakentamisen päästötietokanta</t>
  </si>
  <si>
    <t>Lisätietoa päästökertoimista</t>
  </si>
  <si>
    <t>https://www.motiva.fi/ratkaisut/energiankaytto_suomessa/co2-paastokertoimet</t>
  </si>
  <si>
    <t xml:space="preserve"> Käyttäjän on tarkistettava ajantasainen tieto tukien ja avustusten voimassaolosta</t>
  </si>
  <si>
    <t>Huom. Energiatuki 20%, Energia-avustus enint. 50%.  Käyttäjän on tarkistettava ajantasainen tieto tukien ja avustusten voimassaolosta</t>
  </si>
  <si>
    <t>Arvonlisäveroprosentit ja päästökertoimet päivitetty 1.11.2024 Jarmo Linjama</t>
  </si>
  <si>
    <t>Yritykset ja kunnat 0%, kuluttajat 25,5%</t>
  </si>
  <si>
    <t>https://kestavyysloikka.ymparisto.fi/kirkkonummen-volskodin-energiaremontilla-oljynkulutus-laskee-60-prosenttia/</t>
  </si>
  <si>
    <t>https://kestavyysloikka.ymparisto.fi/muhoksen-huovilan-koulu-oljysta-maalampoon/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</si>
</sst>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0\ &quot;€&quot;;[Red]\-#,##0\ &quot;€&quot;"/>
    <numFmt numFmtId="44" formatCode="_-* #,##0.00\ &quot;€&quot;_-;\-* #,##0.00\ &quot;€&quot;_-;_-* &quot;-&quot;??\ &quot;€&quot;_-;_-@_-"/>
    <numFmt numFmtId="164" formatCode="0.0"/>
    <numFmt numFmtId="165" formatCode="#,##0.000"/>
    <numFmt numFmtId="166" formatCode="0.0%"/>
    <numFmt numFmtId="167" formatCode="&quot;€&quot;#,##0"/>
    <numFmt numFmtId="168" formatCode="#,##0\ &quot;€&quot;"/>
    <numFmt numFmtId="169" formatCode="0.0\ %"/>
    <numFmt numFmtId="170" formatCode="#,##0.0\ &quot;€&quot;"/>
    <numFmt numFmtId="171" formatCode="_-* #,##0\ &quot;€&quot;_-;\-* #,##0\ &quot;€&quot;_-;_-* &quot;-&quot;??\ &quot;€&quot;_-;_-@"/>
    <numFmt numFmtId="172" formatCode="#,##0.00\ &quot;€&quot;"/>
    <numFmt numFmtId="173" formatCode="#,##0.0"/>
    <numFmt numFmtId="174" formatCode="&quot;€&quot;#,##0.00"/>
    <numFmt numFmtId="175" formatCode="#,##0_ ;\-#,##0\ "/>
    <numFmt numFmtId="176" formatCode="[$€]#,##0"/>
    <numFmt numFmtId="177" formatCode="[$€]#,##0.0"/>
    <numFmt numFmtId="178" formatCode="0%"/>
    <numFmt numFmtId="179" formatCode="[$€]#,##0.00"/>
    <numFmt numFmtId="180" formatCode="_-* #,##0\ [$€-40B]_-;\-* #,##0\ [$€-40B]_-;_-* &quot;-&quot;??\ [$€-40B]_-;_-@_-"/>
    <numFmt numFmtId="181" formatCode="_-* #,##0\ &quot;€&quot;_-;\-* #,##0\ &quot;€&quot;_-;_-* &quot;-&quot;??\ &quot;€&quot;_-;_-@_-"/>
    <numFmt numFmtId="182" formatCode="#,##0.0\ [$€-42E]"/>
  </numFmts>
  <fonts count="50"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rgb="FF000000"/>
      <name val="Calibri"/>
      <family val="2"/>
    </font>
    <font>
      <sz val="12"/>
      <color rgb="FF000000"/>
      <name val="Calibri"/>
      <family val="2"/>
    </font>
    <font>
      <b/>
      <sz val="14"/>
      <color rgb="FF000000"/>
      <name val="Calibri"/>
      <family val="2"/>
    </font>
    <font>
      <b/>
      <sz val="12"/>
      <color rgb="FF000000"/>
      <name val="Calibri"/>
      <family val="2"/>
    </font>
    <font>
      <sz val="12"/>
      <name val="Calibri"/>
      <family val="2"/>
    </font>
    <font>
      <sz val="12"/>
      <color rgb="FFFF0000"/>
      <name val="Calibri"/>
      <family val="2"/>
    </font>
    <font>
      <u/>
      <sz val="12"/>
      <color theme="10"/>
      <name val="Calibri"/>
      <family val="2"/>
    </font>
    <font>
      <i/>
      <sz val="12"/>
      <name val="Calibri"/>
      <family val="2"/>
    </font>
    <font>
      <sz val="12"/>
      <name val="Calibri"/>
      <family val="2"/>
    </font>
    <font>
      <b/>
      <sz val="9"/>
      <color indexed="81"/>
      <name val="Tahoma"/>
      <family val="2"/>
    </font>
    <font>
      <sz val="9"/>
      <color indexed="81"/>
      <name val="Tahoma"/>
      <family val="2"/>
    </font>
    <font>
      <b/>
      <sz val="11"/>
      <color rgb="FFFF0000"/>
      <name val="Calibri"/>
      <family val="2"/>
      <scheme val="minor"/>
    </font>
    <font>
      <b/>
      <sz val="11"/>
      <color rgb="FF0070C0"/>
      <name val="Calibri"/>
      <family val="2"/>
      <scheme val="minor"/>
    </font>
    <font>
      <sz val="12"/>
      <color rgb="FF0070C0"/>
      <name val="Calibri"/>
      <family val="2"/>
    </font>
    <font>
      <b/>
      <sz val="11"/>
      <color rgb="FF000000"/>
      <name val="Calibri"/>
      <family val="2"/>
    </font>
    <font>
      <sz val="12"/>
      <color rgb="FFFF0000"/>
      <name val="Calibri"/>
      <family val="2"/>
    </font>
    <font>
      <b/>
      <sz val="12"/>
      <color rgb="FF000000"/>
      <name val="Calibri"/>
      <family val="2"/>
    </font>
    <font>
      <b/>
      <sz val="12"/>
      <name val="Calibri"/>
      <family val="2"/>
    </font>
    <font>
      <b/>
      <sz val="14"/>
      <color rgb="FF000000"/>
      <name val="Arial"/>
      <family val="2"/>
    </font>
    <font>
      <b/>
      <sz val="11"/>
      <name val="Calibri"/>
      <family val="2"/>
      <scheme val="minor"/>
    </font>
    <font>
      <sz val="12"/>
      <color theme="1"/>
      <name val="Calibri"/>
      <family val="2"/>
      <scheme val="minor"/>
    </font>
    <font>
      <sz val="11"/>
      <name val="Calibri"/>
      <family val="2"/>
      <scheme val="minor"/>
    </font>
    <font>
      <sz val="11"/>
      <color theme="0" tint="-0.499984740745262"/>
      <name val="Calibri"/>
      <family val="2"/>
      <scheme val="minor"/>
    </font>
    <font>
      <sz val="12"/>
      <name val="Calibri"/>
      <family val="2"/>
      <scheme val="minor"/>
    </font>
    <font>
      <i/>
      <sz val="12"/>
      <color rgb="FF000000"/>
      <name val="Calibri"/>
      <family val="2"/>
    </font>
    <font>
      <i/>
      <sz val="12"/>
      <name val="Calibri"/>
      <family val="2"/>
    </font>
    <font>
      <b/>
      <sz val="20"/>
      <color theme="1"/>
      <name val="Calibri"/>
      <family val="2"/>
      <scheme val="minor"/>
    </font>
    <font>
      <i/>
      <sz val="12"/>
      <color rgb="FFFF0000"/>
      <name val="Calibri"/>
      <family val="2"/>
    </font>
    <font>
      <sz val="12"/>
      <color theme="4"/>
      <name val="Calibri"/>
      <family val="2"/>
    </font>
    <font>
      <sz val="12"/>
      <color rgb="FFFF0000"/>
      <name val="Calibri"/>
      <family val="2"/>
      <scheme val="minor"/>
    </font>
    <font>
      <sz val="11"/>
      <name val="Arial"/>
      <family val="2"/>
    </font>
    <font>
      <sz val="11"/>
      <color rgb="FF000000"/>
      <name val="Arial"/>
      <family val="2"/>
    </font>
    <font>
      <b/>
      <sz val="12"/>
      <color rgb="FF000000"/>
      <name val="Arial"/>
      <family val="2"/>
    </font>
    <font>
      <b/>
      <sz val="11"/>
      <color rgb="FF000000"/>
      <name val="Arial"/>
      <family val="2"/>
    </font>
    <font>
      <b/>
      <sz val="11"/>
      <color rgb="FFFF0000"/>
      <name val="Arial"/>
      <family val="2"/>
    </font>
    <font>
      <b/>
      <sz val="11"/>
      <color rgb="FF0000FF"/>
      <name val="Arial"/>
      <family val="2"/>
    </font>
    <font>
      <sz val="11"/>
      <color rgb="FFFF0000"/>
      <name val="Arial"/>
      <family val="2"/>
    </font>
    <font>
      <sz val="11"/>
      <color rgb="FF0000FF"/>
      <name val="Arial"/>
      <family val="2"/>
    </font>
    <font>
      <i/>
      <sz val="11"/>
      <color rgb="FF000000"/>
      <name val="Arial"/>
      <family val="2"/>
    </font>
    <font>
      <b/>
      <sz val="11"/>
      <name val="Arial"/>
      <family val="2"/>
    </font>
    <font>
      <sz val="11"/>
      <color rgb="FF3366FF"/>
      <name val="Arial"/>
      <family val="2"/>
    </font>
    <font>
      <i/>
      <sz val="11"/>
      <name val="Arial"/>
      <family val="2"/>
    </font>
    <font>
      <sz val="12"/>
      <color theme="4"/>
      <name val="Calibri"/>
      <family val="2"/>
      <scheme val="minor"/>
    </font>
    <font>
      <b/>
      <u/>
      <sz val="12"/>
      <color rgb="FF000000"/>
      <name val="Calibri"/>
      <family val="2"/>
    </font>
  </fonts>
  <fills count="22">
    <fill>
      <patternFill patternType="none"/>
    </fill>
    <fill>
      <patternFill patternType="gray125"/>
    </fill>
    <fill>
      <patternFill patternType="solid">
        <fgColor rgb="FFC6EFCE"/>
      </patternFill>
    </fill>
    <fill>
      <patternFill patternType="solid">
        <fgColor theme="0"/>
        <bgColor rgb="FFFFFF00"/>
      </patternFill>
    </fill>
    <fill>
      <patternFill patternType="solid">
        <fgColor rgb="FFFFFFFF"/>
        <bgColor rgb="FFFFFFFF"/>
      </patternFill>
    </fill>
    <fill>
      <patternFill patternType="solid">
        <fgColor rgb="FFFFFF00"/>
        <bgColor rgb="FFFFFF00"/>
      </patternFill>
    </fill>
    <fill>
      <patternFill patternType="solid">
        <fgColor rgb="FFFFFF00"/>
        <bgColor rgb="FFFFFFFF"/>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99CC"/>
        <bgColor rgb="FFFFFFFF"/>
      </patternFill>
    </fill>
    <fill>
      <patternFill patternType="solid">
        <fgColor theme="5" tint="0.59999389629810485"/>
        <bgColor indexed="64"/>
      </patternFill>
    </fill>
    <fill>
      <patternFill patternType="solid">
        <fgColor rgb="FFFFF2CC"/>
        <bgColor rgb="FFFFF2CC"/>
      </patternFill>
    </fill>
    <fill>
      <patternFill patternType="solid">
        <fgColor rgb="FFFFFF00"/>
        <bgColor indexed="64"/>
      </patternFill>
    </fill>
    <fill>
      <patternFill patternType="solid">
        <fgColor rgb="FFF3F3F3"/>
        <bgColor rgb="FFF3F3F3"/>
      </patternFill>
    </fill>
    <fill>
      <patternFill patternType="solid">
        <fgColor rgb="FFFCE5CD"/>
        <bgColor rgb="FFFCE5CD"/>
      </patternFill>
    </fill>
    <fill>
      <patternFill patternType="solid">
        <fgColor rgb="FFCFE2F3"/>
        <bgColor rgb="FFCFE2F3"/>
      </patternFill>
    </fill>
    <fill>
      <patternFill patternType="solid">
        <fgColor rgb="FFC9DAF8"/>
        <bgColor rgb="FFC9DAF8"/>
      </patternFill>
    </fill>
    <fill>
      <patternFill patternType="solid">
        <fgColor rgb="FFEAD1DC"/>
        <bgColor rgb="FFEAD1DC"/>
      </patternFill>
    </fill>
    <fill>
      <patternFill patternType="solid">
        <fgColor rgb="FF99FF99"/>
        <bgColor rgb="FFFFFFFF"/>
      </patternFill>
    </fill>
    <fill>
      <patternFill patternType="solid">
        <fgColor rgb="FF99FF99"/>
        <bgColor indexed="64"/>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6" fillId="0" borderId="0"/>
    <xf numFmtId="0" fontId="12" fillId="0" borderId="0" applyNumberFormat="0" applyFill="0" applyBorder="0" applyAlignment="0" applyProtection="0"/>
    <xf numFmtId="0" fontId="1" fillId="0" borderId="0"/>
    <xf numFmtId="0" fontId="6" fillId="0" borderId="0"/>
  </cellStyleXfs>
  <cellXfs count="427">
    <xf numFmtId="0" fontId="0" fillId="0" borderId="0" xfId="0"/>
    <xf numFmtId="0" fontId="8" fillId="0" borderId="0" xfId="5" applyFont="1" applyAlignment="1"/>
    <xf numFmtId="0" fontId="6" fillId="0" borderId="0" xfId="5" applyFont="1" applyAlignment="1"/>
    <xf numFmtId="0" fontId="6" fillId="0" borderId="0" xfId="5" applyFont="1" applyAlignment="1"/>
    <xf numFmtId="0" fontId="7" fillId="0" borderId="0" xfId="5" applyFont="1" applyAlignment="1"/>
    <xf numFmtId="0" fontId="6" fillId="0" borderId="5" xfId="5" applyFont="1" applyBorder="1" applyAlignment="1">
      <alignment wrapText="1"/>
    </xf>
    <xf numFmtId="0" fontId="10" fillId="0" borderId="0" xfId="5" applyFont="1"/>
    <xf numFmtId="0" fontId="10" fillId="0" borderId="5" xfId="5" applyFont="1" applyBorder="1" applyAlignment="1">
      <alignment wrapText="1"/>
    </xf>
    <xf numFmtId="0" fontId="17" fillId="0" borderId="0" xfId="0" applyFont="1"/>
    <xf numFmtId="0" fontId="18" fillId="0" borderId="0" xfId="0" applyFont="1"/>
    <xf numFmtId="0" fontId="5" fillId="0" borderId="0" xfId="4"/>
    <xf numFmtId="0" fontId="19" fillId="0" borderId="5" xfId="0" applyFont="1" applyBorder="1" applyAlignment="1"/>
    <xf numFmtId="0" fontId="0" fillId="0" borderId="0" xfId="0" applyFont="1" applyAlignment="1"/>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21" xfId="0" applyFont="1" applyFill="1" applyBorder="1" applyAlignment="1">
      <alignment horizontal="center" vertical="top" wrapText="1"/>
    </xf>
    <xf numFmtId="164" fontId="14" fillId="0" borderId="5" xfId="0" applyNumberFormat="1" applyFont="1" applyBorder="1" applyAlignment="1"/>
    <xf numFmtId="1" fontId="3" fillId="0" borderId="5" xfId="0" applyNumberFormat="1" applyFont="1" applyBorder="1" applyAlignment="1"/>
    <xf numFmtId="1" fontId="0" fillId="0" borderId="5" xfId="0" applyNumberFormat="1" applyFont="1" applyBorder="1" applyAlignment="1"/>
    <xf numFmtId="1" fontId="14" fillId="0" borderId="5" xfId="0" applyNumberFormat="1" applyFont="1" applyBorder="1" applyAlignment="1"/>
    <xf numFmtId="0" fontId="14" fillId="0" borderId="21" xfId="0" applyFont="1" applyBorder="1" applyAlignment="1"/>
    <xf numFmtId="168" fontId="0" fillId="0" borderId="5" xfId="0" applyNumberFormat="1" applyFont="1" applyBorder="1" applyAlignment="1"/>
    <xf numFmtId="0" fontId="22" fillId="0" borderId="22" xfId="0" applyFont="1" applyBorder="1" applyAlignment="1"/>
    <xf numFmtId="9" fontId="14" fillId="0" borderId="5" xfId="0" applyNumberFormat="1" applyFont="1" applyBorder="1" applyAlignment="1"/>
    <xf numFmtId="0" fontId="0" fillId="0" borderId="5" xfId="0" applyFont="1" applyBorder="1" applyAlignment="1"/>
    <xf numFmtId="0" fontId="22" fillId="0" borderId="0" xfId="0" applyFont="1" applyAlignment="1"/>
    <xf numFmtId="6" fontId="23" fillId="5" borderId="16" xfId="0" applyNumberFormat="1" applyFont="1" applyFill="1" applyBorder="1" applyAlignment="1"/>
    <xf numFmtId="1" fontId="22" fillId="5" borderId="24" xfId="0" applyNumberFormat="1" applyFont="1" applyFill="1" applyBorder="1" applyAlignment="1"/>
    <xf numFmtId="164" fontId="22" fillId="5" borderId="24" xfId="0" applyNumberFormat="1" applyFont="1" applyFill="1" applyBorder="1" applyAlignment="1"/>
    <xf numFmtId="166" fontId="22" fillId="5" borderId="24" xfId="0" applyNumberFormat="1" applyFont="1" applyFill="1" applyBorder="1" applyAlignment="1"/>
    <xf numFmtId="4" fontId="22" fillId="5" borderId="20" xfId="0" applyNumberFormat="1" applyFont="1" applyFill="1" applyBorder="1" applyAlignment="1"/>
    <xf numFmtId="0" fontId="4" fillId="0" borderId="0" xfId="0" applyFont="1"/>
    <xf numFmtId="171" fontId="0" fillId="0" borderId="5" xfId="0" applyNumberFormat="1" applyFont="1" applyBorder="1" applyAlignment="1"/>
    <xf numFmtId="2" fontId="0" fillId="0" borderId="5" xfId="0" applyNumberFormat="1" applyFont="1" applyBorder="1" applyAlignment="1"/>
    <xf numFmtId="0" fontId="0" fillId="0" borderId="0" xfId="0" applyFont="1" applyBorder="1" applyAlignment="1"/>
    <xf numFmtId="0" fontId="0" fillId="5" borderId="5" xfId="0" applyFont="1" applyFill="1" applyBorder="1" applyAlignment="1"/>
    <xf numFmtId="174" fontId="0" fillId="5" borderId="5" xfId="0" applyNumberFormat="1" applyFont="1" applyFill="1" applyBorder="1" applyAlignment="1"/>
    <xf numFmtId="175" fontId="0" fillId="5" borderId="5" xfId="0" applyNumberFormat="1" applyFont="1" applyFill="1" applyBorder="1" applyAlignment="1"/>
    <xf numFmtId="2" fontId="21" fillId="0" borderId="5" xfId="0" applyNumberFormat="1" applyFont="1" applyBorder="1" applyAlignment="1"/>
    <xf numFmtId="168" fontId="21" fillId="0" borderId="5" xfId="0" applyNumberFormat="1" applyFont="1" applyBorder="1" applyAlignment="1"/>
    <xf numFmtId="0" fontId="14" fillId="0" borderId="0" xfId="5" applyFont="1" applyAlignment="1"/>
    <xf numFmtId="0" fontId="7" fillId="0" borderId="5" xfId="5" applyFont="1" applyBorder="1" applyAlignment="1">
      <alignment wrapText="1"/>
    </xf>
    <xf numFmtId="0" fontId="3" fillId="0" borderId="21" xfId="0" applyFont="1" applyBorder="1"/>
    <xf numFmtId="1" fontId="0" fillId="0" borderId="7" xfId="0" applyNumberFormat="1" applyFont="1" applyBorder="1" applyAlignment="1"/>
    <xf numFmtId="0" fontId="14" fillId="0" borderId="0" xfId="0" applyFont="1" applyBorder="1"/>
    <xf numFmtId="0" fontId="14" fillId="0" borderId="21" xfId="0" applyNumberFormat="1" applyFont="1" applyBorder="1" applyAlignment="1"/>
    <xf numFmtId="0" fontId="0" fillId="0" borderId="0" xfId="0" applyBorder="1" applyAlignment="1"/>
    <xf numFmtId="0" fontId="3" fillId="0" borderId="0" xfId="0" applyFont="1" applyBorder="1"/>
    <xf numFmtId="0" fontId="25" fillId="0" borderId="0" xfId="0" applyFont="1"/>
    <xf numFmtId="0" fontId="4" fillId="0" borderId="0" xfId="0" applyFont="1" applyBorder="1" applyAlignment="1"/>
    <xf numFmtId="49" fontId="0" fillId="0" borderId="0" xfId="0" applyNumberFormat="1" applyFont="1" applyBorder="1" applyAlignment="1">
      <alignment horizontal="left" vertical="top"/>
    </xf>
    <xf numFmtId="166" fontId="19" fillId="0" borderId="0" xfId="0" applyNumberFormat="1" applyFont="1" applyBorder="1" applyAlignment="1"/>
    <xf numFmtId="166" fontId="19" fillId="0" borderId="11" xfId="0" applyNumberFormat="1" applyFont="1" applyBorder="1" applyAlignment="1"/>
    <xf numFmtId="166" fontId="19" fillId="0" borderId="21" xfId="0" applyNumberFormat="1" applyFont="1" applyBorder="1" applyAlignment="1"/>
    <xf numFmtId="0" fontId="19" fillId="0" borderId="21" xfId="2" applyNumberFormat="1" applyFont="1" applyBorder="1" applyAlignment="1"/>
    <xf numFmtId="1" fontId="0" fillId="0" borderId="21" xfId="0" applyNumberFormat="1" applyBorder="1"/>
    <xf numFmtId="171" fontId="0" fillId="5" borderId="21" xfId="0" applyNumberFormat="1" applyFont="1" applyFill="1" applyBorder="1" applyAlignment="1"/>
    <xf numFmtId="0" fontId="0" fillId="0" borderId="0" xfId="0" applyBorder="1"/>
    <xf numFmtId="0" fontId="21" fillId="0" borderId="21" xfId="0" applyNumberFormat="1" applyFont="1" applyBorder="1" applyAlignment="1"/>
    <xf numFmtId="168" fontId="19" fillId="0" borderId="5" xfId="0" applyNumberFormat="1" applyFont="1" applyBorder="1" applyAlignment="1"/>
    <xf numFmtId="9" fontId="19" fillId="0" borderId="5" xfId="5" applyNumberFormat="1" applyFont="1" applyBorder="1" applyAlignment="1"/>
    <xf numFmtId="164" fontId="19" fillId="0" borderId="11" xfId="5" applyNumberFormat="1" applyFont="1" applyBorder="1" applyAlignment="1"/>
    <xf numFmtId="169" fontId="19" fillId="0" borderId="11" xfId="0" applyNumberFormat="1" applyFont="1" applyBorder="1" applyAlignment="1"/>
    <xf numFmtId="164" fontId="19" fillId="0" borderId="5" xfId="0" applyNumberFormat="1" applyFont="1" applyBorder="1" applyAlignment="1"/>
    <xf numFmtId="0" fontId="0" fillId="0" borderId="21" xfId="0" applyNumberFormat="1" applyFont="1" applyBorder="1" applyAlignment="1"/>
    <xf numFmtId="168" fontId="14" fillId="0" borderId="21" xfId="0" applyNumberFormat="1" applyFont="1" applyBorder="1" applyAlignment="1"/>
    <xf numFmtId="168" fontId="0" fillId="0" borderId="21" xfId="0" applyNumberFormat="1" applyBorder="1"/>
    <xf numFmtId="0" fontId="0" fillId="0" borderId="4" xfId="0" applyFont="1" applyBorder="1" applyAlignment="1"/>
    <xf numFmtId="171" fontId="0" fillId="0" borderId="7" xfId="0" applyNumberFormat="1" applyFont="1" applyBorder="1" applyAlignment="1"/>
    <xf numFmtId="168" fontId="0" fillId="0" borderId="11" xfId="0" applyNumberFormat="1" applyFont="1" applyBorder="1" applyAlignment="1"/>
    <xf numFmtId="168" fontId="0" fillId="0" borderId="21" xfId="0" applyNumberFormat="1" applyFont="1" applyBorder="1" applyAlignment="1"/>
    <xf numFmtId="0" fontId="7" fillId="0" borderId="21" xfId="5" applyFont="1" applyBorder="1" applyAlignment="1">
      <alignment wrapText="1"/>
    </xf>
    <xf numFmtId="0" fontId="6" fillId="0" borderId="21" xfId="5" applyFont="1" applyBorder="1" applyAlignment="1"/>
    <xf numFmtId="0" fontId="6" fillId="0" borderId="21" xfId="5" applyFont="1" applyBorder="1" applyAlignment="1">
      <alignment wrapText="1"/>
    </xf>
    <xf numFmtId="1" fontId="6" fillId="0" borderId="21" xfId="5" applyNumberFormat="1" applyFont="1" applyBorder="1" applyAlignment="1"/>
    <xf numFmtId="0" fontId="6" fillId="0" borderId="0" xfId="5" applyFont="1" applyAlignment="1"/>
    <xf numFmtId="0" fontId="5" fillId="0" borderId="0" xfId="4" applyAlignment="1"/>
    <xf numFmtId="0" fontId="30" fillId="0" borderId="21" xfId="5" applyFont="1" applyBorder="1" applyAlignment="1"/>
    <xf numFmtId="6" fontId="6" fillId="0" borderId="11" xfId="5" applyNumberFormat="1" applyFont="1" applyBorder="1" applyAlignment="1"/>
    <xf numFmtId="6" fontId="30" fillId="0" borderId="21" xfId="5" applyNumberFormat="1" applyFont="1" applyBorder="1" applyAlignment="1"/>
    <xf numFmtId="1" fontId="6" fillId="0" borderId="23" xfId="5" applyNumberFormat="1" applyFont="1" applyBorder="1" applyAlignment="1"/>
    <xf numFmtId="1" fontId="30" fillId="0" borderId="21" xfId="5" applyNumberFormat="1" applyFont="1" applyBorder="1" applyAlignment="1"/>
    <xf numFmtId="0" fontId="7" fillId="0" borderId="21" xfId="5" applyFont="1" applyBorder="1" applyAlignment="1"/>
    <xf numFmtId="0" fontId="6" fillId="0" borderId="0" xfId="5" applyFont="1" applyAlignment="1"/>
    <xf numFmtId="0" fontId="0" fillId="0" borderId="0" xfId="0" applyAlignment="1">
      <alignment horizontal="left" wrapText="1"/>
    </xf>
    <xf numFmtId="0" fontId="11" fillId="0" borderId="0" xfId="5" applyFont="1" applyAlignment="1"/>
    <xf numFmtId="0" fontId="33" fillId="0" borderId="21" xfId="5" applyFont="1" applyBorder="1" applyAlignment="1"/>
    <xf numFmtId="0" fontId="11" fillId="0" borderId="11" xfId="5" applyFont="1" applyBorder="1" applyAlignment="1"/>
    <xf numFmtId="0" fontId="6" fillId="0" borderId="0" xfId="5" applyFont="1" applyAlignment="1"/>
    <xf numFmtId="9" fontId="33" fillId="0" borderId="0" xfId="5" applyNumberFormat="1" applyFont="1" applyBorder="1" applyAlignment="1"/>
    <xf numFmtId="167" fontId="31" fillId="0" borderId="0" xfId="5" applyNumberFormat="1" applyFont="1" applyBorder="1"/>
    <xf numFmtId="0" fontId="33" fillId="0" borderId="0" xfId="5" applyFont="1" applyBorder="1" applyAlignment="1"/>
    <xf numFmtId="6" fontId="30" fillId="0" borderId="0" xfId="5" applyNumberFormat="1" applyFont="1" applyBorder="1" applyAlignment="1"/>
    <xf numFmtId="1" fontId="30" fillId="0" borderId="0" xfId="5" applyNumberFormat="1" applyFont="1" applyBorder="1" applyAlignment="1"/>
    <xf numFmtId="0" fontId="30" fillId="0" borderId="0" xfId="5" applyFont="1" applyBorder="1" applyAlignment="1"/>
    <xf numFmtId="0" fontId="7" fillId="0" borderId="0" xfId="5" applyFont="1" applyBorder="1" applyAlignment="1"/>
    <xf numFmtId="0" fontId="0" fillId="0" borderId="0" xfId="0"/>
    <xf numFmtId="169" fontId="21" fillId="0" borderId="5" xfId="0" applyNumberFormat="1" applyFont="1" applyBorder="1" applyAlignment="1"/>
    <xf numFmtId="2" fontId="34" fillId="0" borderId="5" xfId="0" applyNumberFormat="1" applyFont="1" applyBorder="1" applyAlignment="1"/>
    <xf numFmtId="0" fontId="0" fillId="0" borderId="21" xfId="0" applyBorder="1"/>
    <xf numFmtId="0" fontId="0" fillId="0" borderId="0" xfId="0"/>
    <xf numFmtId="0" fontId="6" fillId="0" borderId="0" xfId="5" applyFont="1" applyAlignment="1"/>
    <xf numFmtId="9" fontId="30" fillId="0" borderId="21" xfId="2" applyFont="1" applyBorder="1" applyAlignment="1"/>
    <xf numFmtId="9" fontId="6" fillId="0" borderId="21" xfId="2" applyFont="1" applyBorder="1" applyAlignment="1"/>
    <xf numFmtId="0" fontId="6" fillId="0" borderId="0" xfId="5" applyFont="1" applyAlignment="1"/>
    <xf numFmtId="9" fontId="35" fillId="0" borderId="21" xfId="2" applyFont="1" applyBorder="1"/>
    <xf numFmtId="0" fontId="35" fillId="0" borderId="21" xfId="0" applyFont="1" applyBorder="1"/>
    <xf numFmtId="2" fontId="11" fillId="0" borderId="5" xfId="0" applyNumberFormat="1" applyFont="1" applyBorder="1" applyAlignment="1"/>
    <xf numFmtId="168" fontId="10" fillId="0" borderId="21" xfId="0" applyNumberFormat="1" applyFont="1" applyBorder="1" applyAlignment="1"/>
    <xf numFmtId="49" fontId="9" fillId="0" borderId="5" xfId="0" applyNumberFormat="1" applyFont="1" applyBorder="1" applyAlignment="1">
      <alignment horizontal="left" vertical="top" wrapText="1"/>
    </xf>
    <xf numFmtId="49" fontId="9" fillId="7" borderId="5" xfId="0" applyNumberFormat="1" applyFont="1" applyFill="1" applyBorder="1" applyAlignment="1">
      <alignment horizontal="left" vertical="top" wrapText="1"/>
    </xf>
    <xf numFmtId="49" fontId="9" fillId="8" borderId="5" xfId="0" applyNumberFormat="1" applyFont="1" applyFill="1" applyBorder="1" applyAlignment="1">
      <alignment horizontal="left" vertical="top" wrapText="1"/>
    </xf>
    <xf numFmtId="49" fontId="9" fillId="9" borderId="5" xfId="0" applyNumberFormat="1" applyFont="1" applyFill="1" applyBorder="1" applyAlignment="1">
      <alignment horizontal="left" vertical="top" wrapText="1"/>
    </xf>
    <xf numFmtId="49" fontId="9" fillId="10" borderId="5"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wrapText="1"/>
    </xf>
    <xf numFmtId="49" fontId="9" fillId="0" borderId="21" xfId="0" applyNumberFormat="1" applyFont="1" applyBorder="1" applyAlignment="1">
      <alignment horizontal="left" vertical="top" wrapText="1"/>
    </xf>
    <xf numFmtId="49" fontId="9" fillId="0" borderId="21" xfId="0" applyNumberFormat="1" applyFont="1" applyFill="1" applyBorder="1" applyAlignment="1">
      <alignment horizontal="left" vertical="top" wrapText="1"/>
    </xf>
    <xf numFmtId="1" fontId="36" fillId="0" borderId="5" xfId="0" applyNumberFormat="1" applyFont="1" applyFill="1" applyBorder="1"/>
    <xf numFmtId="176" fontId="37" fillId="0" borderId="5" xfId="0" applyNumberFormat="1" applyFont="1" applyBorder="1" applyAlignment="1"/>
    <xf numFmtId="177" fontId="37" fillId="4" borderId="5" xfId="0" applyNumberFormat="1" applyFont="1" applyFill="1" applyBorder="1"/>
    <xf numFmtId="168" fontId="10" fillId="0" borderId="5" xfId="0" applyNumberFormat="1" applyFont="1" applyBorder="1" applyAlignment="1"/>
    <xf numFmtId="177" fontId="36" fillId="12" borderId="5" xfId="0" applyNumberFormat="1" applyFont="1" applyFill="1" applyBorder="1"/>
    <xf numFmtId="168" fontId="0" fillId="0" borderId="5" xfId="0" applyNumberFormat="1" applyFont="1" applyFill="1" applyBorder="1" applyAlignment="1"/>
    <xf numFmtId="168" fontId="0" fillId="0" borderId="10" xfId="0" applyNumberFormat="1" applyFont="1" applyBorder="1" applyAlignment="1"/>
    <xf numFmtId="168" fontId="0" fillId="0" borderId="29" xfId="0" applyNumberFormat="1" applyFont="1" applyBorder="1" applyAlignment="1"/>
    <xf numFmtId="168" fontId="0" fillId="0" borderId="4" xfId="0" applyNumberFormat="1" applyFont="1" applyBorder="1" applyAlignment="1"/>
    <xf numFmtId="177" fontId="37" fillId="4" borderId="4" xfId="0" applyNumberFormat="1" applyFont="1" applyFill="1" applyBorder="1"/>
    <xf numFmtId="168" fontId="10" fillId="0" borderId="4" xfId="0" applyNumberFormat="1" applyFont="1" applyBorder="1" applyAlignment="1"/>
    <xf numFmtId="2" fontId="0" fillId="13" borderId="21" xfId="0" applyNumberFormat="1" applyFont="1" applyFill="1" applyBorder="1" applyAlignment="1"/>
    <xf numFmtId="6" fontId="0" fillId="0" borderId="0" xfId="0" applyNumberFormat="1" applyFont="1" applyFill="1" applyBorder="1" applyAlignment="1"/>
    <xf numFmtId="171" fontId="0" fillId="0" borderId="0" xfId="0" applyNumberFormat="1" applyFont="1" applyFill="1" applyBorder="1" applyAlignment="1"/>
    <xf numFmtId="6" fontId="10" fillId="3" borderId="0" xfId="0" applyNumberFormat="1" applyFont="1" applyFill="1" applyBorder="1" applyAlignment="1"/>
    <xf numFmtId="6" fontId="0" fillId="5" borderId="30" xfId="0" applyNumberFormat="1" applyFont="1" applyFill="1" applyBorder="1" applyAlignment="1"/>
    <xf numFmtId="164" fontId="14" fillId="0" borderId="4" xfId="0" applyNumberFormat="1" applyFont="1" applyBorder="1" applyAlignment="1"/>
    <xf numFmtId="0" fontId="20" fillId="0" borderId="11" xfId="0" applyFont="1" applyBorder="1" applyAlignment="1">
      <alignment horizontal="center" vertical="top" wrapText="1"/>
    </xf>
    <xf numFmtId="1" fontId="21" fillId="0" borderId="21" xfId="0" applyNumberFormat="1" applyFont="1" applyBorder="1" applyAlignment="1"/>
    <xf numFmtId="176" fontId="37" fillId="0" borderId="11" xfId="0" applyNumberFormat="1" applyFont="1" applyBorder="1" applyAlignment="1"/>
    <xf numFmtId="2" fontId="0" fillId="0" borderId="11" xfId="0" applyNumberFormat="1" applyFont="1" applyBorder="1" applyAlignment="1"/>
    <xf numFmtId="1" fontId="36" fillId="0" borderId="7" xfId="0" applyNumberFormat="1" applyFont="1" applyFill="1" applyBorder="1"/>
    <xf numFmtId="176" fontId="37" fillId="0" borderId="21" xfId="0" applyNumberFormat="1" applyFont="1" applyBorder="1" applyAlignment="1"/>
    <xf numFmtId="168" fontId="10" fillId="0" borderId="10" xfId="0" applyNumberFormat="1" applyFont="1" applyBorder="1" applyAlignment="1"/>
    <xf numFmtId="178" fontId="22" fillId="5" borderId="24" xfId="0" applyNumberFormat="1" applyFont="1" applyFill="1" applyBorder="1" applyAlignment="1"/>
    <xf numFmtId="2" fontId="22" fillId="5" borderId="20" xfId="0" applyNumberFormat="1" applyFont="1" applyFill="1" applyBorder="1" applyAlignment="1"/>
    <xf numFmtId="0" fontId="38" fillId="0" borderId="1" xfId="8" applyFont="1" applyBorder="1" applyAlignment="1"/>
    <xf numFmtId="0" fontId="37" fillId="0" borderId="2" xfId="8" applyFont="1" applyBorder="1" applyAlignment="1"/>
    <xf numFmtId="0" fontId="37" fillId="0" borderId="0" xfId="8" applyFont="1" applyAlignment="1"/>
    <xf numFmtId="0" fontId="6" fillId="0" borderId="0" xfId="8" applyFont="1" applyAlignment="1"/>
    <xf numFmtId="0" fontId="6" fillId="0" borderId="0" xfId="8" applyFont="1" applyAlignment="1"/>
    <xf numFmtId="0" fontId="40" fillId="0" borderId="0" xfId="8" applyFont="1" applyAlignment="1"/>
    <xf numFmtId="0" fontId="41" fillId="0" borderId="0" xfId="8" applyFont="1" applyAlignment="1"/>
    <xf numFmtId="0" fontId="36" fillId="0" borderId="0" xfId="8" applyFont="1"/>
    <xf numFmtId="164" fontId="42" fillId="0" borderId="5" xfId="8" applyNumberFormat="1" applyFont="1" applyBorder="1" applyAlignment="1"/>
    <xf numFmtId="165" fontId="43" fillId="0" borderId="5" xfId="8" applyNumberFormat="1" applyFont="1" applyBorder="1" applyAlignment="1"/>
    <xf numFmtId="9" fontId="43" fillId="0" borderId="5" xfId="8" applyNumberFormat="1" applyFont="1" applyBorder="1" applyAlignment="1"/>
    <xf numFmtId="166" fontId="42" fillId="0" borderId="11" xfId="8" applyNumberFormat="1" applyFont="1" applyBorder="1" applyAlignment="1"/>
    <xf numFmtId="0" fontId="45" fillId="0" borderId="0" xfId="8" applyFont="1" applyAlignment="1"/>
    <xf numFmtId="0" fontId="36" fillId="0" borderId="0" xfId="8" applyFont="1" applyAlignment="1"/>
    <xf numFmtId="0" fontId="44" fillId="14" borderId="5" xfId="8" applyFont="1" applyFill="1" applyBorder="1" applyAlignment="1"/>
    <xf numFmtId="0" fontId="44" fillId="0" borderId="0" xfId="8" applyFont="1" applyAlignment="1"/>
    <xf numFmtId="1" fontId="46" fillId="0" borderId="5" xfId="8" applyNumberFormat="1" applyFont="1" applyBorder="1" applyAlignment="1"/>
    <xf numFmtId="1" fontId="47" fillId="14" borderId="5" xfId="8" applyNumberFormat="1" applyFont="1" applyFill="1" applyBorder="1" applyAlignment="1"/>
    <xf numFmtId="166" fontId="43" fillId="0" borderId="5" xfId="8" applyNumberFormat="1" applyFont="1" applyBorder="1" applyAlignment="1"/>
    <xf numFmtId="9" fontId="42" fillId="0" borderId="5" xfId="8" applyNumberFormat="1" applyFont="1" applyBorder="1" applyAlignment="1"/>
    <xf numFmtId="0" fontId="37" fillId="4" borderId="0" xfId="8" applyFont="1" applyFill="1" applyAlignment="1"/>
    <xf numFmtId="49" fontId="37" fillId="4" borderId="0" xfId="8" applyNumberFormat="1" applyFont="1" applyFill="1" applyAlignment="1">
      <alignment horizontal="left" vertical="top" wrapText="1"/>
    </xf>
    <xf numFmtId="167" fontId="42" fillId="4" borderId="0" xfId="8" applyNumberFormat="1" applyFont="1" applyFill="1" applyAlignment="1"/>
    <xf numFmtId="49" fontId="39" fillId="4" borderId="0" xfId="8" applyNumberFormat="1" applyFont="1" applyFill="1" applyAlignment="1"/>
    <xf numFmtId="167" fontId="42" fillId="0" borderId="5" xfId="8" applyNumberFormat="1" applyFont="1" applyBorder="1" applyAlignment="1"/>
    <xf numFmtId="168" fontId="47" fillId="14" borderId="5" xfId="8" applyNumberFormat="1" applyFont="1" applyFill="1" applyBorder="1" applyAlignment="1"/>
    <xf numFmtId="167" fontId="43" fillId="0" borderId="5" xfId="8" applyNumberFormat="1" applyFont="1" applyBorder="1" applyAlignment="1"/>
    <xf numFmtId="176" fontId="42" fillId="0" borderId="5" xfId="8" applyNumberFormat="1" applyFont="1" applyBorder="1" applyAlignment="1"/>
    <xf numFmtId="3" fontId="42" fillId="0" borderId="5" xfId="8" applyNumberFormat="1" applyFont="1" applyBorder="1" applyAlignment="1"/>
    <xf numFmtId="166" fontId="42" fillId="0" borderId="5" xfId="8" applyNumberFormat="1" applyFont="1" applyBorder="1" applyAlignment="1"/>
    <xf numFmtId="177" fontId="44" fillId="14" borderId="5" xfId="8" applyNumberFormat="1" applyFont="1" applyFill="1" applyBorder="1" applyAlignment="1"/>
    <xf numFmtId="9" fontId="42" fillId="0" borderId="11" xfId="8" applyNumberFormat="1" applyFont="1" applyBorder="1" applyAlignment="1"/>
    <xf numFmtId="49" fontId="37" fillId="0" borderId="0" xfId="8" applyNumberFormat="1" applyFont="1" applyAlignment="1">
      <alignment horizontal="left" vertical="top" wrapText="1"/>
    </xf>
    <xf numFmtId="49" fontId="36" fillId="0" borderId="0" xfId="8" applyNumberFormat="1" applyFont="1" applyAlignment="1">
      <alignment horizontal="left" vertical="top" wrapText="1"/>
    </xf>
    <xf numFmtId="164" fontId="42" fillId="0" borderId="0" xfId="8" applyNumberFormat="1" applyFont="1" applyAlignment="1"/>
    <xf numFmtId="0" fontId="38" fillId="0" borderId="0" xfId="8" applyFont="1" applyAlignment="1"/>
    <xf numFmtId="0" fontId="37" fillId="0" borderId="0" xfId="8" applyFont="1" applyAlignment="1">
      <alignment wrapText="1"/>
    </xf>
    <xf numFmtId="0" fontId="10" fillId="0" borderId="0" xfId="8" applyFont="1" applyBorder="1"/>
    <xf numFmtId="0" fontId="37" fillId="0" borderId="0" xfId="8" applyFont="1" applyAlignment="1">
      <alignment vertical="top"/>
    </xf>
    <xf numFmtId="49" fontId="39" fillId="15" borderId="5" xfId="8" applyNumberFormat="1" applyFont="1" applyFill="1" applyBorder="1" applyAlignment="1">
      <alignment horizontal="left" vertical="top" wrapText="1"/>
    </xf>
    <xf numFmtId="49" fontId="39" fillId="16" borderId="5" xfId="8" applyNumberFormat="1" applyFont="1" applyFill="1" applyBorder="1" applyAlignment="1">
      <alignment horizontal="left" vertical="top" wrapText="1"/>
    </xf>
    <xf numFmtId="0" fontId="45" fillId="16" borderId="5" xfId="8" applyFont="1" applyFill="1" applyBorder="1" applyAlignment="1">
      <alignment horizontal="left" vertical="top" wrapText="1"/>
    </xf>
    <xf numFmtId="49" fontId="39" fillId="12" borderId="5" xfId="8" applyNumberFormat="1" applyFont="1" applyFill="1" applyBorder="1" applyAlignment="1">
      <alignment horizontal="left" vertical="top" wrapText="1"/>
    </xf>
    <xf numFmtId="0" fontId="45" fillId="12" borderId="5" xfId="8" applyFont="1" applyFill="1" applyBorder="1" applyAlignment="1">
      <alignment horizontal="left" vertical="top" wrapText="1"/>
    </xf>
    <xf numFmtId="49" fontId="39" fillId="17" borderId="5" xfId="8" applyNumberFormat="1" applyFont="1" applyFill="1" applyBorder="1" applyAlignment="1">
      <alignment horizontal="left" vertical="top" wrapText="1"/>
    </xf>
    <xf numFmtId="0" fontId="45" fillId="17" borderId="0" xfId="8" applyFont="1" applyFill="1" applyAlignment="1">
      <alignment horizontal="left" vertical="top" wrapText="1"/>
    </xf>
    <xf numFmtId="49" fontId="39" fillId="18" borderId="5" xfId="8" applyNumberFormat="1" applyFont="1" applyFill="1" applyBorder="1" applyAlignment="1">
      <alignment horizontal="left" vertical="top" wrapText="1"/>
    </xf>
    <xf numFmtId="49" fontId="39" fillId="18" borderId="12" xfId="8" applyNumberFormat="1" applyFont="1" applyFill="1" applyBorder="1" applyAlignment="1">
      <alignment horizontal="left" vertical="top" wrapText="1"/>
    </xf>
    <xf numFmtId="0" fontId="36" fillId="0" borderId="0" xfId="8" applyFont="1" applyAlignment="1">
      <alignment horizontal="left" vertical="top"/>
    </xf>
    <xf numFmtId="0" fontId="37" fillId="0" borderId="0" xfId="8" applyFont="1" applyAlignment="1">
      <alignment horizontal="left" vertical="top"/>
    </xf>
    <xf numFmtId="0" fontId="37" fillId="0" borderId="5" xfId="8" applyFont="1" applyBorder="1" applyAlignment="1"/>
    <xf numFmtId="1" fontId="37" fillId="4" borderId="5" xfId="8" applyNumberFormat="1" applyFont="1" applyFill="1" applyBorder="1" applyAlignment="1"/>
    <xf numFmtId="172" fontId="37" fillId="0" borderId="5" xfId="8" applyNumberFormat="1" applyFont="1" applyBorder="1" applyAlignment="1">
      <alignment vertical="top"/>
    </xf>
    <xf numFmtId="177" fontId="36" fillId="16" borderId="5" xfId="8" applyNumberFormat="1" applyFont="1" applyFill="1" applyBorder="1"/>
    <xf numFmtId="1" fontId="36" fillId="0" borderId="5" xfId="8" applyNumberFormat="1" applyFont="1" applyFill="1" applyBorder="1"/>
    <xf numFmtId="176" fontId="37" fillId="0" borderId="5" xfId="8" applyNumberFormat="1" applyFont="1" applyBorder="1" applyAlignment="1"/>
    <xf numFmtId="177" fontId="37" fillId="4" borderId="5" xfId="8" applyNumberFormat="1" applyFont="1" applyFill="1" applyBorder="1"/>
    <xf numFmtId="177" fontId="37" fillId="0" borderId="5" xfId="8" applyNumberFormat="1" applyFont="1" applyBorder="1" applyAlignment="1"/>
    <xf numFmtId="177" fontId="36" fillId="12" borderId="5" xfId="8" applyNumberFormat="1" applyFont="1" applyFill="1" applyBorder="1"/>
    <xf numFmtId="179" fontId="37" fillId="0" borderId="5" xfId="8" applyNumberFormat="1" applyFont="1" applyBorder="1" applyAlignment="1"/>
    <xf numFmtId="177" fontId="36" fillId="17" borderId="5" xfId="8" applyNumberFormat="1" applyFont="1" applyFill="1" applyBorder="1"/>
    <xf numFmtId="177" fontId="37" fillId="15" borderId="5" xfId="8" applyNumberFormat="1" applyFont="1" applyFill="1" applyBorder="1" applyAlignment="1"/>
    <xf numFmtId="167" fontId="37" fillId="0" borderId="5" xfId="8" applyNumberFormat="1" applyFont="1" applyBorder="1" applyAlignment="1"/>
    <xf numFmtId="176" fontId="36" fillId="0" borderId="5" xfId="8" applyNumberFormat="1" applyFont="1" applyBorder="1" applyAlignment="1"/>
    <xf numFmtId="176" fontId="39" fillId="0" borderId="5" xfId="8" applyNumberFormat="1" applyFont="1" applyFill="1" applyBorder="1" applyAlignment="1"/>
    <xf numFmtId="9" fontId="36" fillId="0" borderId="0" xfId="8" applyNumberFormat="1" applyFont="1"/>
    <xf numFmtId="172" fontId="37" fillId="0" borderId="5" xfId="8" applyNumberFormat="1" applyFont="1" applyBorder="1" applyAlignment="1"/>
    <xf numFmtId="176" fontId="39" fillId="18" borderId="5" xfId="8" applyNumberFormat="1" applyFont="1" applyFill="1" applyBorder="1" applyAlignment="1"/>
    <xf numFmtId="0" fontId="37" fillId="0" borderId="11" xfId="8" applyFont="1" applyBorder="1" applyAlignment="1"/>
    <xf numFmtId="1" fontId="37" fillId="4" borderId="11" xfId="8" applyNumberFormat="1" applyFont="1" applyFill="1" applyBorder="1" applyAlignment="1"/>
    <xf numFmtId="172" fontId="37" fillId="0" borderId="11" xfId="8" applyNumberFormat="1" applyFont="1" applyBorder="1" applyAlignment="1"/>
    <xf numFmtId="177" fontId="36" fillId="16" borderId="11" xfId="8" applyNumberFormat="1" applyFont="1" applyFill="1" applyBorder="1"/>
    <xf numFmtId="1" fontId="36" fillId="0" borderId="11" xfId="8" applyNumberFormat="1" applyFont="1" applyFill="1" applyBorder="1"/>
    <xf numFmtId="176" fontId="37" fillId="0" borderId="11" xfId="8" applyNumberFormat="1" applyFont="1" applyBorder="1" applyAlignment="1"/>
    <xf numFmtId="177" fontId="37" fillId="4" borderId="11" xfId="8" applyNumberFormat="1" applyFont="1" applyFill="1" applyBorder="1"/>
    <xf numFmtId="177" fontId="37" fillId="0" borderId="11" xfId="8" applyNumberFormat="1" applyFont="1" applyBorder="1" applyAlignment="1"/>
    <xf numFmtId="179" fontId="37" fillId="0" borderId="11" xfId="8" applyNumberFormat="1" applyFont="1" applyBorder="1" applyAlignment="1"/>
    <xf numFmtId="177" fontId="36" fillId="17" borderId="11" xfId="8" applyNumberFormat="1" applyFont="1" applyFill="1" applyBorder="1"/>
    <xf numFmtId="177" fontId="37" fillId="15" borderId="11" xfId="8" applyNumberFormat="1" applyFont="1" applyFill="1" applyBorder="1" applyAlignment="1"/>
    <xf numFmtId="176" fontId="36" fillId="0" borderId="11" xfId="8" applyNumberFormat="1" applyFont="1" applyBorder="1" applyAlignment="1"/>
    <xf numFmtId="0" fontId="37" fillId="0" borderId="21" xfId="8" applyFont="1" applyBorder="1" applyAlignment="1"/>
    <xf numFmtId="9" fontId="36" fillId="0" borderId="0" xfId="8" applyNumberFormat="1" applyFont="1" applyBorder="1"/>
    <xf numFmtId="0" fontId="36" fillId="0" borderId="0" xfId="8" applyFont="1" applyBorder="1"/>
    <xf numFmtId="0" fontId="37" fillId="0" borderId="0" xfId="8" applyFont="1" applyBorder="1" applyAlignment="1"/>
    <xf numFmtId="0" fontId="39" fillId="0" borderId="9" xfId="8" applyFont="1" applyBorder="1" applyAlignment="1">
      <alignment horizontal="right"/>
    </xf>
    <xf numFmtId="1" fontId="39" fillId="0" borderId="9" xfId="8" applyNumberFormat="1" applyFont="1" applyBorder="1" applyAlignment="1"/>
    <xf numFmtId="0" fontId="36" fillId="0" borderId="9" xfId="8" applyFont="1" applyBorder="1"/>
    <xf numFmtId="176" fontId="45" fillId="0" borderId="9" xfId="8" applyNumberFormat="1" applyFont="1" applyBorder="1"/>
    <xf numFmtId="170" fontId="39" fillId="0" borderId="9" xfId="8" applyNumberFormat="1" applyFont="1" applyBorder="1" applyAlignment="1"/>
    <xf numFmtId="177" fontId="45" fillId="0" borderId="9" xfId="8" applyNumberFormat="1" applyFont="1" applyBorder="1"/>
    <xf numFmtId="177" fontId="39" fillId="0" borderId="9" xfId="8" applyNumberFormat="1" applyFont="1" applyBorder="1" applyAlignment="1"/>
    <xf numFmtId="167" fontId="37" fillId="0" borderId="9" xfId="8" applyNumberFormat="1" applyFont="1" applyBorder="1" applyAlignment="1"/>
    <xf numFmtId="0" fontId="37" fillId="0" borderId="9" xfId="8" applyFont="1" applyBorder="1" applyAlignment="1"/>
    <xf numFmtId="168" fontId="37" fillId="0" borderId="9" xfId="8" applyNumberFormat="1" applyFont="1" applyBorder="1" applyAlignment="1"/>
    <xf numFmtId="0" fontId="39" fillId="0" borderId="0" xfId="8" applyFont="1" applyBorder="1" applyAlignment="1"/>
    <xf numFmtId="1" fontId="37" fillId="0" borderId="0" xfId="8" applyNumberFormat="1" applyFont="1" applyAlignment="1"/>
    <xf numFmtId="0" fontId="39" fillId="0" borderId="0" xfId="8" applyFont="1" applyAlignment="1"/>
    <xf numFmtId="6" fontId="45" fillId="5" borderId="16" xfId="8" applyNumberFormat="1" applyFont="1" applyFill="1" applyBorder="1" applyAlignment="1"/>
    <xf numFmtId="166" fontId="45" fillId="0" borderId="0" xfId="8" applyNumberFormat="1" applyFont="1" applyAlignment="1"/>
    <xf numFmtId="1" fontId="39" fillId="5" borderId="31" xfId="8" applyNumberFormat="1" applyFont="1" applyFill="1" applyBorder="1" applyAlignment="1"/>
    <xf numFmtId="166" fontId="45" fillId="6" borderId="21" xfId="8" applyNumberFormat="1" applyFont="1" applyFill="1" applyBorder="1" applyAlignment="1"/>
    <xf numFmtId="166" fontId="42" fillId="4" borderId="0" xfId="8" applyNumberFormat="1" applyFont="1" applyFill="1" applyBorder="1" applyAlignment="1"/>
    <xf numFmtId="49" fontId="37" fillId="4" borderId="0" xfId="8" applyNumberFormat="1" applyFont="1" applyFill="1" applyBorder="1" applyAlignment="1">
      <alignment horizontal="left" vertical="top"/>
    </xf>
    <xf numFmtId="1" fontId="39" fillId="4" borderId="0" xfId="8" applyNumberFormat="1" applyFont="1" applyFill="1" applyBorder="1" applyAlignment="1"/>
    <xf numFmtId="166" fontId="45" fillId="4" borderId="0" xfId="8" applyNumberFormat="1" applyFont="1" applyFill="1" applyBorder="1" applyAlignment="1"/>
    <xf numFmtId="173" fontId="39" fillId="4" borderId="5" xfId="8" applyNumberFormat="1" applyFont="1" applyFill="1" applyBorder="1" applyAlignment="1"/>
    <xf numFmtId="0" fontId="37" fillId="4" borderId="0" xfId="8" applyFont="1" applyFill="1" applyBorder="1" applyAlignment="1"/>
    <xf numFmtId="164" fontId="39" fillId="4" borderId="5" xfId="8" applyNumberFormat="1" applyFont="1" applyFill="1" applyBorder="1" applyAlignment="1"/>
    <xf numFmtId="166" fontId="36" fillId="4" borderId="0" xfId="8" applyNumberFormat="1" applyFont="1" applyFill="1" applyBorder="1" applyAlignment="1"/>
    <xf numFmtId="0" fontId="4" fillId="0" borderId="0" xfId="8" applyFont="1"/>
    <xf numFmtId="0" fontId="6" fillId="0" borderId="0" xfId="8"/>
    <xf numFmtId="0" fontId="34" fillId="0" borderId="21" xfId="8" applyFont="1" applyBorder="1"/>
    <xf numFmtId="1" fontId="6" fillId="0" borderId="21" xfId="8" applyNumberFormat="1" applyBorder="1"/>
    <xf numFmtId="0" fontId="39" fillId="0" borderId="22" xfId="8" applyFont="1" applyBorder="1" applyAlignment="1"/>
    <xf numFmtId="0" fontId="42" fillId="0" borderId="5" xfId="8" applyFont="1" applyBorder="1" applyAlignment="1"/>
    <xf numFmtId="0" fontId="39" fillId="0" borderId="5" xfId="8" applyFont="1" applyBorder="1" applyAlignment="1"/>
    <xf numFmtId="0" fontId="39" fillId="0" borderId="5" xfId="8" applyFont="1" applyBorder="1" applyAlignment="1">
      <alignment horizontal="center" vertical="top" wrapText="1"/>
    </xf>
    <xf numFmtId="0" fontId="39" fillId="0" borderId="7" xfId="8" applyFont="1" applyBorder="1" applyAlignment="1">
      <alignment horizontal="center" vertical="top" wrapText="1"/>
    </xf>
    <xf numFmtId="0" fontId="37" fillId="0" borderId="6" xfId="8" applyFont="1" applyBorder="1" applyAlignment="1">
      <alignment horizontal="right"/>
    </xf>
    <xf numFmtId="1" fontId="42" fillId="0" borderId="5" xfId="8" applyNumberFormat="1" applyFont="1" applyBorder="1" applyAlignment="1"/>
    <xf numFmtId="2" fontId="42" fillId="0" borderId="5" xfId="8" applyNumberFormat="1" applyFont="1" applyBorder="1" applyAlignment="1"/>
    <xf numFmtId="1" fontId="36" fillId="0" borderId="7" xfId="8" applyNumberFormat="1" applyFont="1" applyBorder="1" applyAlignment="1"/>
    <xf numFmtId="1" fontId="37" fillId="0" borderId="5" xfId="8" applyNumberFormat="1" applyFont="1" applyBorder="1" applyAlignment="1"/>
    <xf numFmtId="0" fontId="39" fillId="0" borderId="6" xfId="8" applyFont="1" applyBorder="1" applyAlignment="1">
      <alignment horizontal="right"/>
    </xf>
    <xf numFmtId="1" fontId="39" fillId="0" borderId="7" xfId="8" applyNumberFormat="1" applyFont="1" applyBorder="1" applyAlignment="1"/>
    <xf numFmtId="1" fontId="45" fillId="0" borderId="5" xfId="8" applyNumberFormat="1" applyFont="1" applyBorder="1" applyAlignment="1"/>
    <xf numFmtId="1" fontId="39" fillId="0" borderId="5" xfId="8" applyNumberFormat="1" applyFont="1" applyBorder="1" applyAlignment="1"/>
    <xf numFmtId="170" fontId="39" fillId="0" borderId="5" xfId="8" applyNumberFormat="1" applyFont="1" applyBorder="1" applyAlignment="1"/>
    <xf numFmtId="0" fontId="39" fillId="0" borderId="0" xfId="8" applyFont="1" applyAlignment="1">
      <alignment horizontal="right"/>
    </xf>
    <xf numFmtId="0" fontId="45" fillId="0" borderId="0" xfId="8" applyFont="1" applyAlignment="1">
      <alignment horizontal="right"/>
    </xf>
    <xf numFmtId="164" fontId="36" fillId="0" borderId="0" xfId="8" applyNumberFormat="1" applyFont="1" applyAlignment="1"/>
    <xf numFmtId="1" fontId="36" fillId="0" borderId="0" xfId="8" applyNumberFormat="1" applyFont="1" applyAlignment="1"/>
    <xf numFmtId="2" fontId="37" fillId="0" borderId="0" xfId="8" applyNumberFormat="1" applyFont="1" applyAlignment="1"/>
    <xf numFmtId="1" fontId="36" fillId="14" borderId="5" xfId="8" applyNumberFormat="1" applyFont="1" applyFill="1" applyBorder="1" applyAlignment="1"/>
    <xf numFmtId="9" fontId="36" fillId="14" borderId="5" xfId="8" applyNumberFormat="1" applyFont="1" applyFill="1" applyBorder="1" applyAlignment="1"/>
    <xf numFmtId="2" fontId="44" fillId="14" borderId="5" xfId="8" applyNumberFormat="1" applyFont="1" applyFill="1" applyBorder="1" applyAlignment="1"/>
    <xf numFmtId="1" fontId="42" fillId="0" borderId="21" xfId="8" applyNumberFormat="1" applyFont="1" applyBorder="1"/>
    <xf numFmtId="0" fontId="11" fillId="0" borderId="21" xfId="5" applyFont="1" applyBorder="1" applyAlignment="1"/>
    <xf numFmtId="0" fontId="11" fillId="0" borderId="11" xfId="5" applyFont="1" applyBorder="1" applyAlignment="1">
      <alignment wrapText="1"/>
    </xf>
    <xf numFmtId="0" fontId="11" fillId="0" borderId="21" xfId="5" applyFont="1" applyBorder="1" applyAlignment="1">
      <alignment wrapText="1"/>
    </xf>
    <xf numFmtId="6" fontId="6" fillId="0" borderId="21" xfId="5" applyNumberFormat="1" applyFont="1" applyBorder="1" applyAlignment="1"/>
    <xf numFmtId="0" fontId="26" fillId="0" borderId="5" xfId="0" applyFont="1" applyBorder="1" applyAlignment="1"/>
    <xf numFmtId="0" fontId="29" fillId="0" borderId="5" xfId="0" applyFont="1" applyBorder="1" applyAlignment="1"/>
    <xf numFmtId="9" fontId="29" fillId="0" borderId="5" xfId="0" applyNumberFormat="1" applyFont="1" applyBorder="1" applyAlignment="1"/>
    <xf numFmtId="0" fontId="26" fillId="0" borderId="21" xfId="0" applyNumberFormat="1" applyFont="1" applyBorder="1"/>
    <xf numFmtId="0" fontId="48" fillId="0" borderId="21" xfId="0" applyFont="1" applyBorder="1"/>
    <xf numFmtId="0" fontId="26" fillId="0" borderId="21" xfId="0" applyFont="1" applyBorder="1"/>
    <xf numFmtId="1" fontId="26" fillId="0" borderId="21" xfId="0" applyNumberFormat="1" applyFont="1" applyBorder="1"/>
    <xf numFmtId="0" fontId="49" fillId="0" borderId="0" xfId="5" applyFont="1" applyAlignment="1"/>
    <xf numFmtId="168" fontId="11" fillId="0" borderId="11" xfId="0" applyNumberFormat="1" applyFont="1" applyBorder="1" applyAlignment="1"/>
    <xf numFmtId="180" fontId="10" fillId="0" borderId="11" xfId="5" applyNumberFormat="1" applyFont="1" applyBorder="1"/>
    <xf numFmtId="180" fontId="31" fillId="0" borderId="21" xfId="5" applyNumberFormat="1" applyFont="1" applyBorder="1"/>
    <xf numFmtId="181" fontId="10" fillId="0" borderId="11" xfId="1" applyNumberFormat="1" applyFont="1" applyBorder="1"/>
    <xf numFmtId="181" fontId="6" fillId="0" borderId="21" xfId="1" applyNumberFormat="1" applyFont="1" applyBorder="1" applyAlignment="1"/>
    <xf numFmtId="0" fontId="10" fillId="20" borderId="0" xfId="5" applyFont="1" applyFill="1" applyAlignment="1"/>
    <xf numFmtId="0" fontId="6" fillId="20" borderId="0" xfId="5" applyFont="1" applyFill="1" applyAlignment="1"/>
    <xf numFmtId="0" fontId="5" fillId="20" borderId="0" xfId="4" applyFill="1" applyAlignment="1"/>
    <xf numFmtId="0" fontId="9" fillId="20" borderId="5" xfId="5" applyFont="1" applyFill="1" applyBorder="1" applyAlignment="1">
      <alignment wrapText="1"/>
    </xf>
    <xf numFmtId="9" fontId="11" fillId="20" borderId="11" xfId="5" applyNumberFormat="1" applyFont="1" applyFill="1" applyBorder="1" applyAlignment="1"/>
    <xf numFmtId="9" fontId="33" fillId="20" borderId="21" xfId="5" applyNumberFormat="1" applyFont="1" applyFill="1" applyBorder="1" applyAlignment="1"/>
    <xf numFmtId="0" fontId="11" fillId="20" borderId="11" xfId="5" applyFont="1" applyFill="1" applyBorder="1" applyAlignment="1"/>
    <xf numFmtId="0" fontId="11" fillId="20" borderId="21" xfId="5" applyFont="1" applyFill="1" applyBorder="1" applyAlignment="1"/>
    <xf numFmtId="0" fontId="10" fillId="21" borderId="0" xfId="5" applyFont="1" applyFill="1" applyAlignment="1"/>
    <xf numFmtId="181" fontId="30" fillId="0" borderId="21" xfId="1" applyNumberFormat="1" applyFont="1" applyBorder="1" applyAlignment="1"/>
    <xf numFmtId="0" fontId="6" fillId="0" borderId="7" xfId="5" applyFont="1" applyBorder="1" applyAlignment="1">
      <alignment wrapText="1"/>
    </xf>
    <xf numFmtId="166" fontId="11" fillId="0" borderId="5" xfId="0" applyNumberFormat="1" applyFont="1" applyBorder="1" applyAlignment="1"/>
    <xf numFmtId="168" fontId="19" fillId="0" borderId="11" xfId="0" applyNumberFormat="1" applyFont="1" applyBorder="1" applyAlignment="1"/>
    <xf numFmtId="169" fontId="6" fillId="0" borderId="21" xfId="5" applyNumberFormat="1" applyFont="1" applyBorder="1" applyAlignment="1"/>
    <xf numFmtId="169" fontId="30" fillId="0" borderId="21" xfId="2" applyNumberFormat="1" applyFont="1" applyBorder="1" applyAlignment="1"/>
    <xf numFmtId="0" fontId="23" fillId="20" borderId="5" xfId="5" applyFont="1" applyFill="1" applyBorder="1" applyAlignment="1">
      <alignment wrapText="1"/>
    </xf>
    <xf numFmtId="181" fontId="13" fillId="0" borderId="21" xfId="1" applyNumberFormat="1" applyFont="1" applyBorder="1"/>
    <xf numFmtId="169" fontId="30" fillId="0" borderId="21" xfId="5" applyNumberFormat="1" applyFont="1" applyBorder="1" applyAlignment="1"/>
    <xf numFmtId="169" fontId="6" fillId="0" borderId="21" xfId="2" applyNumberFormat="1" applyFont="1" applyBorder="1" applyAlignment="1"/>
    <xf numFmtId="164" fontId="6" fillId="0" borderId="21" xfId="5" applyNumberFormat="1" applyFont="1" applyBorder="1" applyAlignment="1"/>
    <xf numFmtId="172" fontId="11" fillId="0" borderId="21" xfId="0" applyNumberFormat="1" applyFont="1" applyBorder="1" applyAlignment="1"/>
    <xf numFmtId="181" fontId="19" fillId="0" borderId="21" xfId="1" applyNumberFormat="1" applyFont="1" applyBorder="1" applyAlignment="1"/>
    <xf numFmtId="182" fontId="37" fillId="0" borderId="5" xfId="8" applyNumberFormat="1" applyFont="1" applyBorder="1" applyAlignment="1"/>
    <xf numFmtId="0" fontId="10" fillId="20" borderId="0" xfId="5" applyFont="1" applyFill="1" applyAlignment="1"/>
    <xf numFmtId="176" fontId="37" fillId="4" borderId="5" xfId="0" applyNumberFormat="1" applyFont="1" applyFill="1" applyBorder="1"/>
    <xf numFmtId="176" fontId="37" fillId="4" borderId="11" xfId="0" applyNumberFormat="1" applyFont="1" applyFill="1" applyBorder="1"/>
    <xf numFmtId="176" fontId="37" fillId="4" borderId="21" xfId="0" applyNumberFormat="1" applyFont="1" applyFill="1" applyBorder="1"/>
    <xf numFmtId="176" fontId="37" fillId="4" borderId="4" xfId="0" applyNumberFormat="1" applyFont="1" applyFill="1" applyBorder="1"/>
    <xf numFmtId="176" fontId="36" fillId="12" borderId="5" xfId="0" applyNumberFormat="1" applyFont="1" applyFill="1" applyBorder="1"/>
    <xf numFmtId="0" fontId="0" fillId="0" borderId="21" xfId="0" applyBorder="1" applyAlignment="1">
      <alignment horizontal="center"/>
    </xf>
    <xf numFmtId="14" fontId="0" fillId="0" borderId="21" xfId="0" applyNumberFormat="1" applyBorder="1" applyAlignment="1">
      <alignment horizontal="center"/>
    </xf>
    <xf numFmtId="0" fontId="0" fillId="0" borderId="21" xfId="0" applyBorder="1" applyAlignment="1">
      <alignment horizontal="left" wrapText="1"/>
    </xf>
    <xf numFmtId="0" fontId="32"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10" fillId="20" borderId="0" xfId="5" applyFont="1" applyFill="1" applyAlignment="1">
      <alignment wrapText="1"/>
    </xf>
    <xf numFmtId="0" fontId="10" fillId="20" borderId="0" xfId="5" applyFont="1" applyFill="1" applyAlignment="1"/>
    <xf numFmtId="0" fontId="24" fillId="19" borderId="0" xfId="5" applyFont="1" applyFill="1" applyAlignment="1">
      <alignment horizontal="center"/>
    </xf>
    <xf numFmtId="49" fontId="26" fillId="0" borderId="6" xfId="0" applyNumberFormat="1" applyFont="1" applyBorder="1" applyAlignment="1">
      <alignment horizontal="left" vertical="top"/>
    </xf>
    <xf numFmtId="0" fontId="14" fillId="0" borderId="3" xfId="0" applyFont="1" applyBorder="1"/>
    <xf numFmtId="0" fontId="14" fillId="0" borderId="4" xfId="0" applyFont="1" applyBorder="1"/>
    <xf numFmtId="0" fontId="2" fillId="2" borderId="0" xfId="3" applyAlignment="1">
      <alignment horizontal="center"/>
    </xf>
    <xf numFmtId="49" fontId="0" fillId="0" borderId="6" xfId="0" applyNumberFormat="1" applyFont="1" applyBorder="1" applyAlignment="1">
      <alignment horizontal="left" vertical="top" wrapText="1"/>
    </xf>
    <xf numFmtId="0" fontId="0" fillId="0" borderId="25" xfId="0" applyBorder="1" applyAlignment="1"/>
    <xf numFmtId="0" fontId="0" fillId="0" borderId="26" xfId="0" applyBorder="1" applyAlignment="1"/>
    <xf numFmtId="0" fontId="0" fillId="0" borderId="27" xfId="0" applyBorder="1" applyAlignment="1"/>
    <xf numFmtId="49" fontId="26" fillId="0" borderId="7" xfId="0" applyNumberFormat="1" applyFont="1" applyBorder="1" applyAlignment="1">
      <alignment horizontal="left" vertical="top" wrapText="1"/>
    </xf>
    <xf numFmtId="0" fontId="28" fillId="0" borderId="21" xfId="0" applyFont="1" applyBorder="1" applyAlignment="1"/>
    <xf numFmtId="49" fontId="28" fillId="0" borderId="21" xfId="0" applyNumberFormat="1" applyFont="1" applyBorder="1" applyAlignment="1">
      <alignment horizontal="left" vertical="top"/>
    </xf>
    <xf numFmtId="49" fontId="29" fillId="0" borderId="7" xfId="0" applyNumberFormat="1" applyFont="1" applyBorder="1" applyAlignment="1">
      <alignment horizontal="left" vertical="top" wrapText="1"/>
    </xf>
    <xf numFmtId="49" fontId="26" fillId="0" borderId="8" xfId="0" applyNumberFormat="1" applyFont="1" applyBorder="1" applyAlignment="1">
      <alignment horizontal="left" vertical="top"/>
    </xf>
    <xf numFmtId="0" fontId="14" fillId="0" borderId="9" xfId="0" applyFont="1" applyBorder="1"/>
    <xf numFmtId="49" fontId="14" fillId="0" borderId="6" xfId="5" applyNumberFormat="1" applyFont="1" applyBorder="1" applyAlignment="1">
      <alignment horizontal="left" vertical="top"/>
    </xf>
    <xf numFmtId="0" fontId="14" fillId="0" borderId="3" xfId="5" applyFont="1" applyBorder="1"/>
    <xf numFmtId="0" fontId="14" fillId="0" borderId="4" xfId="5" applyFont="1" applyBorder="1"/>
    <xf numFmtId="49" fontId="10" fillId="0" borderId="8" xfId="5" applyNumberFormat="1" applyFont="1" applyBorder="1" applyAlignment="1">
      <alignment horizontal="left" vertical="top" wrapText="1"/>
    </xf>
    <xf numFmtId="0" fontId="14" fillId="0" borderId="9" xfId="5" applyFont="1" applyBorder="1"/>
    <xf numFmtId="0" fontId="14" fillId="0" borderId="10" xfId="5" applyFont="1" applyBorder="1"/>
    <xf numFmtId="49" fontId="26" fillId="0" borderId="23" xfId="0" applyNumberFormat="1" applyFont="1" applyBorder="1" applyAlignment="1">
      <alignment horizontal="left" vertical="top" wrapText="1"/>
    </xf>
    <xf numFmtId="0" fontId="14" fillId="0" borderId="10" xfId="0" applyFont="1" applyBorder="1"/>
    <xf numFmtId="49" fontId="26" fillId="0" borderId="25" xfId="0" applyNumberFormat="1" applyFont="1" applyBorder="1" applyAlignment="1">
      <alignment horizontal="left" vertical="top"/>
    </xf>
    <xf numFmtId="49" fontId="26" fillId="0" borderId="26" xfId="0" applyNumberFormat="1" applyFont="1" applyBorder="1" applyAlignment="1">
      <alignment horizontal="left" vertical="top"/>
    </xf>
    <xf numFmtId="49" fontId="26" fillId="0" borderId="27" xfId="0" applyNumberFormat="1" applyFont="1" applyBorder="1" applyAlignment="1">
      <alignment horizontal="left" vertical="top"/>
    </xf>
    <xf numFmtId="49" fontId="0" fillId="0" borderId="23" xfId="0" applyNumberFormat="1" applyFont="1" applyBorder="1" applyAlignment="1">
      <alignment horizontal="left" vertical="top" wrapText="1"/>
    </xf>
    <xf numFmtId="49" fontId="0" fillId="0" borderId="21" xfId="0" applyNumberFormat="1" applyFont="1" applyBorder="1" applyAlignment="1">
      <alignment horizontal="left" vertical="top"/>
    </xf>
    <xf numFmtId="49" fontId="0" fillId="5" borderId="6" xfId="0" applyNumberFormat="1" applyFont="1" applyFill="1" applyBorder="1" applyAlignment="1">
      <alignment horizontal="left" vertical="top"/>
    </xf>
    <xf numFmtId="49" fontId="27" fillId="0" borderId="7" xfId="0" applyNumberFormat="1" applyFont="1" applyBorder="1" applyAlignment="1">
      <alignment horizontal="left" vertical="top" wrapText="1"/>
    </xf>
    <xf numFmtId="49" fontId="27" fillId="0" borderId="3" xfId="0" applyNumberFormat="1" applyFont="1" applyBorder="1" applyAlignment="1">
      <alignment horizontal="left" vertical="top" wrapText="1"/>
    </xf>
    <xf numFmtId="49" fontId="27" fillId="0" borderId="4" xfId="0" applyNumberFormat="1" applyFont="1" applyBorder="1" applyAlignment="1">
      <alignment horizontal="left" vertical="top" wrapText="1"/>
    </xf>
    <xf numFmtId="49" fontId="27" fillId="0" borderId="7" xfId="0" applyNumberFormat="1" applyFont="1" applyBorder="1" applyAlignment="1">
      <alignment horizontal="left" vertical="top"/>
    </xf>
    <xf numFmtId="49" fontId="27" fillId="0" borderId="3" xfId="0" applyNumberFormat="1" applyFont="1" applyBorder="1" applyAlignment="1">
      <alignment horizontal="left" vertical="top"/>
    </xf>
    <xf numFmtId="49" fontId="27" fillId="0" borderId="4" xfId="0" applyNumberFormat="1" applyFont="1" applyBorder="1" applyAlignment="1">
      <alignment horizontal="left" vertical="top"/>
    </xf>
    <xf numFmtId="0" fontId="27" fillId="0" borderId="7" xfId="0" applyFont="1" applyBorder="1" applyAlignment="1"/>
    <xf numFmtId="0" fontId="27" fillId="0" borderId="3" xfId="0" applyFont="1" applyBorder="1" applyAlignment="1"/>
    <xf numFmtId="0" fontId="27" fillId="0" borderId="4" xfId="0" applyFont="1" applyBorder="1" applyAlignment="1"/>
    <xf numFmtId="49" fontId="27" fillId="0" borderId="23" xfId="0" applyNumberFormat="1" applyFont="1" applyBorder="1" applyAlignment="1">
      <alignment horizontal="left" vertical="top"/>
    </xf>
    <xf numFmtId="49" fontId="27" fillId="0" borderId="21" xfId="0" applyNumberFormat="1" applyFont="1" applyBorder="1" applyAlignment="1">
      <alignment horizontal="left" vertical="top"/>
    </xf>
    <xf numFmtId="0" fontId="27" fillId="0" borderId="21" xfId="0" applyFont="1" applyBorder="1"/>
    <xf numFmtId="49" fontId="0" fillId="5" borderId="13" xfId="0" applyNumberFormat="1" applyFont="1" applyFill="1" applyBorder="1" applyAlignment="1">
      <alignment horizontal="left" vertical="top" wrapText="1"/>
    </xf>
    <xf numFmtId="0" fontId="14" fillId="0" borderId="14" xfId="0" applyFont="1" applyBorder="1"/>
    <xf numFmtId="0" fontId="14" fillId="0" borderId="15" xfId="0" applyFont="1" applyBorder="1"/>
    <xf numFmtId="49" fontId="27" fillId="0" borderId="25" xfId="0" applyNumberFormat="1" applyFont="1" applyBorder="1" applyAlignment="1">
      <alignment horizontal="left" vertical="top"/>
    </xf>
    <xf numFmtId="49" fontId="27" fillId="0" borderId="26" xfId="0" applyNumberFormat="1" applyFont="1" applyBorder="1" applyAlignment="1">
      <alignment horizontal="left" vertical="top"/>
    </xf>
    <xf numFmtId="49" fontId="27" fillId="0" borderId="27" xfId="0" applyNumberFormat="1" applyFont="1" applyBorder="1" applyAlignment="1">
      <alignment horizontal="left" vertical="top"/>
    </xf>
    <xf numFmtId="0" fontId="0" fillId="0" borderId="6" xfId="0" applyFont="1" applyBorder="1" applyAlignment="1">
      <alignment horizontal="right"/>
    </xf>
    <xf numFmtId="0" fontId="0" fillId="0" borderId="3" xfId="0" applyFont="1" applyBorder="1" applyAlignment="1">
      <alignment horizontal="right"/>
    </xf>
    <xf numFmtId="49" fontId="0" fillId="5" borderId="3" xfId="0" applyNumberFormat="1" applyFont="1" applyFill="1" applyBorder="1" applyAlignment="1">
      <alignment horizontal="left" vertical="top"/>
    </xf>
    <xf numFmtId="49" fontId="0" fillId="5" borderId="4" xfId="0" applyNumberFormat="1" applyFont="1" applyFill="1" applyBorder="1" applyAlignment="1">
      <alignment horizontal="left" vertical="top"/>
    </xf>
    <xf numFmtId="49" fontId="0" fillId="5" borderId="17" xfId="0" applyNumberFormat="1" applyFont="1" applyFill="1" applyBorder="1" applyAlignment="1">
      <alignment horizontal="left" vertical="top"/>
    </xf>
    <xf numFmtId="0" fontId="14" fillId="0" borderId="18" xfId="0" applyFont="1" applyBorder="1"/>
    <xf numFmtId="0" fontId="14" fillId="0" borderId="19" xfId="0" applyFont="1" applyBorder="1"/>
    <xf numFmtId="0" fontId="0" fillId="0" borderId="21" xfId="0" applyBorder="1"/>
    <xf numFmtId="0" fontId="22" fillId="0" borderId="6" xfId="0" applyFont="1" applyBorder="1" applyAlignment="1">
      <alignment horizontal="right"/>
    </xf>
    <xf numFmtId="0" fontId="22" fillId="0" borderId="28" xfId="0" applyFont="1" applyBorder="1" applyAlignment="1">
      <alignment horizontal="right"/>
    </xf>
    <xf numFmtId="0" fontId="22" fillId="0" borderId="4" xfId="0" applyFont="1" applyBorder="1" applyAlignment="1">
      <alignment horizontal="right"/>
    </xf>
    <xf numFmtId="49" fontId="37" fillId="14" borderId="7" xfId="8" applyNumberFormat="1" applyFont="1" applyFill="1" applyBorder="1" applyAlignment="1">
      <alignment horizontal="left" vertical="top" wrapText="1"/>
    </xf>
    <xf numFmtId="0" fontId="10" fillId="0" borderId="3" xfId="8" applyFont="1" applyBorder="1"/>
    <xf numFmtId="0" fontId="10" fillId="0" borderId="4" xfId="8" applyFont="1" applyBorder="1"/>
    <xf numFmtId="49" fontId="37" fillId="4" borderId="7" xfId="8" applyNumberFormat="1" applyFont="1" applyFill="1" applyBorder="1" applyAlignment="1">
      <alignment horizontal="left" vertical="top" wrapText="1"/>
    </xf>
    <xf numFmtId="0" fontId="6" fillId="0" borderId="21" xfId="8" applyBorder="1"/>
    <xf numFmtId="49" fontId="37" fillId="0" borderId="7" xfId="8" applyNumberFormat="1" applyFont="1" applyBorder="1" applyAlignment="1">
      <alignment horizontal="left" vertical="top" wrapText="1"/>
    </xf>
    <xf numFmtId="49" fontId="37" fillId="0" borderId="7" xfId="8" applyNumberFormat="1" applyFont="1" applyBorder="1" applyAlignment="1">
      <alignment horizontal="left" vertical="top"/>
    </xf>
    <xf numFmtId="49" fontId="39" fillId="17" borderId="3" xfId="8" applyNumberFormat="1" applyFont="1" applyFill="1" applyBorder="1" applyAlignment="1">
      <alignment vertical="top" wrapText="1"/>
    </xf>
    <xf numFmtId="49" fontId="39" fillId="17" borderId="4" xfId="8" applyNumberFormat="1" applyFont="1" applyFill="1" applyBorder="1" applyAlignment="1">
      <alignment vertical="top" wrapText="1"/>
    </xf>
    <xf numFmtId="49" fontId="39" fillId="18" borderId="21" xfId="8" applyNumberFormat="1" applyFont="1" applyFill="1" applyBorder="1" applyAlignment="1">
      <alignment horizontal="left" vertical="top" wrapText="1"/>
    </xf>
    <xf numFmtId="49" fontId="37" fillId="5" borderId="13" xfId="8" applyNumberFormat="1" applyFont="1" applyFill="1" applyBorder="1" applyAlignment="1">
      <alignment horizontal="left" vertical="top" wrapText="1"/>
    </xf>
    <xf numFmtId="0" fontId="10" fillId="0" borderId="14" xfId="8" applyFont="1" applyBorder="1"/>
    <xf numFmtId="0" fontId="10" fillId="0" borderId="15" xfId="8" applyFont="1" applyBorder="1"/>
    <xf numFmtId="49" fontId="37" fillId="5" borderId="8" xfId="8" applyNumberFormat="1" applyFont="1" applyFill="1" applyBorder="1" applyAlignment="1">
      <alignment horizontal="left" vertical="top"/>
    </xf>
    <xf numFmtId="0" fontId="10" fillId="0" borderId="9" xfId="8" applyFont="1" applyBorder="1"/>
    <xf numFmtId="0" fontId="10" fillId="0" borderId="10" xfId="8" applyFont="1" applyBorder="1"/>
    <xf numFmtId="49" fontId="37" fillId="5" borderId="21" xfId="8" applyNumberFormat="1" applyFont="1" applyFill="1" applyBorder="1" applyAlignment="1">
      <alignment horizontal="left" vertical="top"/>
    </xf>
    <xf numFmtId="0" fontId="37" fillId="4" borderId="7" xfId="8" applyFont="1" applyFill="1" applyBorder="1" applyAlignment="1">
      <alignment horizontal="left" wrapText="1"/>
    </xf>
    <xf numFmtId="49" fontId="44" fillId="14" borderId="6" xfId="8" applyNumberFormat="1" applyFont="1" applyFill="1" applyBorder="1" applyAlignment="1">
      <alignment horizontal="left" vertical="top" wrapText="1"/>
    </xf>
    <xf numFmtId="49" fontId="37" fillId="0" borderId="6" xfId="8" applyNumberFormat="1" applyFont="1" applyBorder="1" applyAlignment="1">
      <alignment horizontal="left" vertical="top"/>
    </xf>
    <xf numFmtId="49" fontId="37" fillId="0" borderId="8" xfId="8" applyNumberFormat="1" applyFont="1" applyBorder="1" applyAlignment="1">
      <alignment horizontal="left" vertical="top" wrapText="1"/>
    </xf>
    <xf numFmtId="49" fontId="39" fillId="15" borderId="7" xfId="8" applyNumberFormat="1" applyFont="1" applyFill="1" applyBorder="1" applyAlignment="1">
      <alignment horizontal="left" vertical="top" wrapText="1"/>
    </xf>
    <xf numFmtId="49" fontId="39" fillId="16" borderId="7" xfId="8" applyNumberFormat="1" applyFont="1" applyFill="1" applyBorder="1" applyAlignment="1">
      <alignment horizontal="left" vertical="top" wrapText="1"/>
    </xf>
    <xf numFmtId="49" fontId="39" fillId="12" borderId="7" xfId="8" applyNumberFormat="1" applyFont="1" applyFill="1" applyBorder="1" applyAlignment="1">
      <alignment vertical="top" wrapText="1"/>
    </xf>
    <xf numFmtId="49" fontId="39" fillId="12" borderId="3" xfId="8" applyNumberFormat="1" applyFont="1" applyFill="1" applyBorder="1" applyAlignment="1">
      <alignment vertical="top" wrapText="1"/>
    </xf>
    <xf numFmtId="49" fontId="44" fillId="14" borderId="7" xfId="8" applyNumberFormat="1" applyFont="1" applyFill="1" applyBorder="1" applyAlignment="1">
      <alignment horizontal="left" vertical="top" wrapText="1"/>
    </xf>
    <xf numFmtId="49" fontId="37" fillId="0" borderId="6" xfId="8" applyNumberFormat="1" applyFont="1" applyBorder="1" applyAlignment="1">
      <alignment horizontal="left" vertical="top" wrapText="1"/>
    </xf>
    <xf numFmtId="49" fontId="44" fillId="14" borderId="7" xfId="8" applyNumberFormat="1" applyFont="1" applyFill="1" applyBorder="1" applyAlignment="1">
      <alignment horizontal="left" vertical="top"/>
    </xf>
    <xf numFmtId="0" fontId="39" fillId="5" borderId="0" xfId="8" applyFont="1" applyFill="1" applyAlignment="1">
      <alignment wrapText="1"/>
    </xf>
    <xf numFmtId="0" fontId="6" fillId="0" borderId="0" xfId="8" applyFont="1" applyAlignment="1"/>
    <xf numFmtId="49" fontId="39" fillId="0" borderId="0" xfId="8" applyNumberFormat="1" applyFont="1" applyAlignment="1">
      <alignment horizontal="left" vertical="top"/>
    </xf>
    <xf numFmtId="0" fontId="37" fillId="0" borderId="3" xfId="8" applyFont="1" applyBorder="1" applyAlignment="1">
      <alignment horizontal="left" vertical="top" wrapText="1"/>
    </xf>
    <xf numFmtId="0" fontId="36" fillId="0" borderId="21" xfId="8" applyFont="1" applyBorder="1" applyAlignment="1"/>
  </cellXfs>
  <cellStyles count="9">
    <cellStyle name="Currency" xfId="1" builtinId="4"/>
    <cellStyle name="Good" xfId="3" builtinId="26"/>
    <cellStyle name="Hyperlink" xfId="4" builtinId="8"/>
    <cellStyle name="Hyperlinkki 2" xfId="6" xr:uid="{0398B2F8-8385-4A8E-92C4-87CCCA94BFE5}"/>
    <cellStyle name="Normaali 2" xfId="5" xr:uid="{DDC5A503-C893-4762-B34F-F7DFCD048885}"/>
    <cellStyle name="Normaali 3" xfId="7" xr:uid="{224C039B-BA8F-47A0-9786-EBDC7268E006}"/>
    <cellStyle name="Normaali 4" xfId="8" xr:uid="{9E69AFA1-D646-480F-BBEA-5B6AC863C89E}"/>
    <cellStyle name="Normal" xfId="0" builtinId="0"/>
    <cellStyle name="Percent" xfId="2" builtinId="5"/>
  </cellStyles>
  <dxfs count="2">
    <dxf>
      <font>
        <color rgb="FF006100"/>
      </font>
      <fill>
        <patternFill patternType="solid">
          <fgColor rgb="FFC6EFCE"/>
          <bgColor rgb="FFC6EF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s>
  <tableStyles count="0" defaultTableStyle="TableStyleMedium2" defaultPivotStyle="PivotStyleLight16"/>
  <colors>
    <mruColors>
      <color rgb="FF99FF99"/>
      <color rgb="FF66FF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 vertailu</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'IVLP 20v kannattavuus'!$U$37</c:f>
              <c:strCache>
                <c:ptCount val="1"/>
                <c:pt idx="0">
                  <c:v>Nykyjärjestelmän kumulatiivinen kulu</c:v>
                </c:pt>
              </c:strCache>
            </c:strRef>
          </c:tx>
          <c:spPr>
            <a:ln w="28575" cap="rnd">
              <a:solidFill>
                <a:schemeClr val="accent1"/>
              </a:solidFill>
              <a:round/>
            </a:ln>
            <a:effectLst/>
          </c:spPr>
          <c:marker>
            <c:symbol val="none"/>
          </c:marker>
          <c:val>
            <c:numRef>
              <c:f>'IVLP 20v kannattavuus'!$U$38:$U$58</c:f>
              <c:numCache>
                <c:formatCode>#\ ##0\ "€"</c:formatCode>
                <c:ptCount val="21"/>
                <c:pt idx="0">
                  <c:v>6400</c:v>
                </c:pt>
                <c:pt idx="1">
                  <c:v>12864</c:v>
                </c:pt>
                <c:pt idx="2">
                  <c:v>19392.64</c:v>
                </c:pt>
                <c:pt idx="3">
                  <c:v>25986.5664</c:v>
                </c:pt>
                <c:pt idx="4">
                  <c:v>32646.432064000001</c:v>
                </c:pt>
                <c:pt idx="5">
                  <c:v>39372.89638464</c:v>
                </c:pt>
                <c:pt idx="6">
                  <c:v>46166.625348486399</c:v>
                </c:pt>
                <c:pt idx="7">
                  <c:v>53028.291601971265</c:v>
                </c:pt>
                <c:pt idx="8">
                  <c:v>59958.574517990979</c:v>
                </c:pt>
                <c:pt idx="9">
                  <c:v>66958.160263170896</c:v>
                </c:pt>
                <c:pt idx="10">
                  <c:v>74027.7418658026</c:v>
                </c:pt>
                <c:pt idx="11">
                  <c:v>81168.019284460621</c:v>
                </c:pt>
                <c:pt idx="12">
                  <c:v>88379.699477305228</c:v>
                </c:pt>
                <c:pt idx="13">
                  <c:v>95663.496472078288</c:v>
                </c:pt>
                <c:pt idx="14">
                  <c:v>103020.13143679907</c:v>
                </c:pt>
                <c:pt idx="15">
                  <c:v>110450.33275116706</c:v>
                </c:pt>
                <c:pt idx="16">
                  <c:v>117954.83607867874</c:v>
                </c:pt>
                <c:pt idx="17">
                  <c:v>125534.38443946553</c:v>
                </c:pt>
                <c:pt idx="18">
                  <c:v>133189.7282838602</c:v>
                </c:pt>
                <c:pt idx="19">
                  <c:v>140921.62556669879</c:v>
                </c:pt>
                <c:pt idx="20">
                  <c:v>148730.84182236576</c:v>
                </c:pt>
              </c:numCache>
            </c:numRef>
          </c:val>
          <c:smooth val="0"/>
          <c:extLst>
            <c:ext xmlns:c16="http://schemas.microsoft.com/office/drawing/2014/chart" uri="{C3380CC4-5D6E-409C-BE32-E72D297353CC}">
              <c16:uniqueId val="{00000000-F3B7-4EFF-B3A0-CD20307F9FC0}"/>
            </c:ext>
          </c:extLst>
        </c:ser>
        <c:ser>
          <c:idx val="1"/>
          <c:order val="1"/>
          <c:tx>
            <c:strRef>
              <c:f>'IVLP 20v kannattavuus'!$V$37</c:f>
              <c:strCache>
                <c:ptCount val="1"/>
                <c:pt idx="0">
                  <c:v>Uuden järjestelmän kumulatiivinen kulu</c:v>
                </c:pt>
              </c:strCache>
            </c:strRef>
          </c:tx>
          <c:spPr>
            <a:ln w="28575" cap="rnd">
              <a:solidFill>
                <a:schemeClr val="accent2"/>
              </a:solidFill>
              <a:round/>
            </a:ln>
            <a:effectLst/>
          </c:spPr>
          <c:marker>
            <c:symbol val="none"/>
          </c:marker>
          <c:val>
            <c:numRef>
              <c:f>'IVLP 20v kannattavuus'!$V$38:$V$58</c:f>
              <c:numCache>
                <c:formatCode>#\ ##0\ "€"</c:formatCode>
                <c:ptCount val="21"/>
                <c:pt idx="0">
                  <c:v>24750</c:v>
                </c:pt>
                <c:pt idx="1">
                  <c:v>28630</c:v>
                </c:pt>
                <c:pt idx="2">
                  <c:v>32510</c:v>
                </c:pt>
                <c:pt idx="3">
                  <c:v>36390</c:v>
                </c:pt>
                <c:pt idx="4">
                  <c:v>40270</c:v>
                </c:pt>
                <c:pt idx="5">
                  <c:v>44150</c:v>
                </c:pt>
                <c:pt idx="6">
                  <c:v>48030</c:v>
                </c:pt>
                <c:pt idx="7">
                  <c:v>51910</c:v>
                </c:pt>
                <c:pt idx="8">
                  <c:v>55790</c:v>
                </c:pt>
                <c:pt idx="9">
                  <c:v>59670</c:v>
                </c:pt>
                <c:pt idx="10">
                  <c:v>63550</c:v>
                </c:pt>
                <c:pt idx="11">
                  <c:v>67430</c:v>
                </c:pt>
                <c:pt idx="12">
                  <c:v>71310</c:v>
                </c:pt>
                <c:pt idx="13">
                  <c:v>75190</c:v>
                </c:pt>
                <c:pt idx="14">
                  <c:v>79070</c:v>
                </c:pt>
                <c:pt idx="15">
                  <c:v>82950</c:v>
                </c:pt>
                <c:pt idx="16">
                  <c:v>86830</c:v>
                </c:pt>
                <c:pt idx="17">
                  <c:v>90710</c:v>
                </c:pt>
                <c:pt idx="18">
                  <c:v>94590</c:v>
                </c:pt>
                <c:pt idx="19">
                  <c:v>98470</c:v>
                </c:pt>
                <c:pt idx="20">
                  <c:v>102350</c:v>
                </c:pt>
              </c:numCache>
            </c:numRef>
          </c:val>
          <c:smooth val="0"/>
          <c:extLst>
            <c:ext xmlns:c16="http://schemas.microsoft.com/office/drawing/2014/chart" uri="{C3380CC4-5D6E-409C-BE32-E72D297353CC}">
              <c16:uniqueId val="{00000001-F3B7-4EFF-B3A0-CD20307F9FC0}"/>
            </c:ext>
          </c:extLst>
        </c:ser>
        <c:dLbls>
          <c:showLegendKey val="0"/>
          <c:showVal val="0"/>
          <c:showCatName val="0"/>
          <c:showSerName val="0"/>
          <c:showPercent val="0"/>
          <c:showBubbleSize val="0"/>
        </c:dLbls>
        <c:smooth val="0"/>
        <c:axId val="1898058704"/>
        <c:axId val="1903332048"/>
      </c:lineChart>
      <c:catAx>
        <c:axId val="189805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3332048"/>
        <c:crosses val="autoZero"/>
        <c:auto val="1"/>
        <c:lblAlgn val="ctr"/>
        <c:lblOffset val="100"/>
        <c:noMultiLvlLbl val="0"/>
      </c:catAx>
      <c:valAx>
        <c:axId val="1903332048"/>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805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a:t>
            </a:r>
            <a:r>
              <a:rPr lang="fi-FI"/>
              <a:t> vertailu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'MLP 25v kannattavuus'!$U$37</c:f>
              <c:strCache>
                <c:ptCount val="1"/>
                <c:pt idx="0">
                  <c:v>Nykyjärjestelmän kumulatiivinen kulu</c:v>
                </c:pt>
              </c:strCache>
            </c:strRef>
          </c:tx>
          <c:spPr>
            <a:ln w="28575" cap="rnd">
              <a:solidFill>
                <a:schemeClr val="accent1"/>
              </a:solidFill>
              <a:round/>
            </a:ln>
            <a:effectLst/>
          </c:spPr>
          <c:marker>
            <c:symbol val="none"/>
          </c:marker>
          <c:val>
            <c:numRef>
              <c:f>'MLP 25v kannattavuus'!$U$38:$U$63</c:f>
              <c:numCache>
                <c:formatCode>#\ ##0\ "€"</c:formatCode>
                <c:ptCount val="26"/>
                <c:pt idx="0">
                  <c:v>6400</c:v>
                </c:pt>
                <c:pt idx="1">
                  <c:v>12864</c:v>
                </c:pt>
                <c:pt idx="2">
                  <c:v>19392.64</c:v>
                </c:pt>
                <c:pt idx="3">
                  <c:v>25986.5664</c:v>
                </c:pt>
                <c:pt idx="4">
                  <c:v>32646.432064000001</c:v>
                </c:pt>
                <c:pt idx="5">
                  <c:v>39372.89638464</c:v>
                </c:pt>
                <c:pt idx="6">
                  <c:v>46166.625348486399</c:v>
                </c:pt>
                <c:pt idx="7">
                  <c:v>53028.291601971265</c:v>
                </c:pt>
                <c:pt idx="8">
                  <c:v>59958.574517990979</c:v>
                </c:pt>
                <c:pt idx="9">
                  <c:v>66958.160263170896</c:v>
                </c:pt>
                <c:pt idx="10">
                  <c:v>74027.7418658026</c:v>
                </c:pt>
                <c:pt idx="11">
                  <c:v>81168.019284460621</c:v>
                </c:pt>
                <c:pt idx="12">
                  <c:v>88379.699477305228</c:v>
                </c:pt>
                <c:pt idx="13">
                  <c:v>95663.496472078288</c:v>
                </c:pt>
                <c:pt idx="14">
                  <c:v>103020.13143679907</c:v>
                </c:pt>
                <c:pt idx="15">
                  <c:v>110450.33275116706</c:v>
                </c:pt>
                <c:pt idx="16">
                  <c:v>117954.83607867874</c:v>
                </c:pt>
                <c:pt idx="17">
                  <c:v>125534.38443946553</c:v>
                </c:pt>
                <c:pt idx="18">
                  <c:v>133189.7282838602</c:v>
                </c:pt>
                <c:pt idx="19">
                  <c:v>140921.62556669879</c:v>
                </c:pt>
                <c:pt idx="20">
                  <c:v>148730.84182236576</c:v>
                </c:pt>
                <c:pt idx="21">
                  <c:v>156618.15024058943</c:v>
                </c:pt>
                <c:pt idx="22">
                  <c:v>164584.33174299533</c:v>
                </c:pt>
                <c:pt idx="23">
                  <c:v>172630.17506042527</c:v>
                </c:pt>
                <c:pt idx="24">
                  <c:v>180756.47681102954</c:v>
                </c:pt>
                <c:pt idx="25">
                  <c:v>188964.04157913983</c:v>
                </c:pt>
              </c:numCache>
            </c:numRef>
          </c:val>
          <c:smooth val="0"/>
          <c:extLst>
            <c:ext xmlns:c16="http://schemas.microsoft.com/office/drawing/2014/chart" uri="{C3380CC4-5D6E-409C-BE32-E72D297353CC}">
              <c16:uniqueId val="{00000000-3019-4221-990D-1DC98350F5AD}"/>
            </c:ext>
          </c:extLst>
        </c:ser>
        <c:ser>
          <c:idx val="1"/>
          <c:order val="1"/>
          <c:tx>
            <c:strRef>
              <c:f>'MLP 25v kannattavuus'!$V$37</c:f>
              <c:strCache>
                <c:ptCount val="1"/>
                <c:pt idx="0">
                  <c:v>Uuden järjestelmän kumulatiivinen kulu</c:v>
                </c:pt>
              </c:strCache>
            </c:strRef>
          </c:tx>
          <c:spPr>
            <a:ln w="28575" cap="rnd">
              <a:solidFill>
                <a:schemeClr val="accent2"/>
              </a:solidFill>
              <a:round/>
            </a:ln>
            <a:effectLst/>
          </c:spPr>
          <c:marker>
            <c:symbol val="none"/>
          </c:marker>
          <c:val>
            <c:numRef>
              <c:f>'MLP 25v kannattavuus'!$V$38:$V$63</c:f>
              <c:numCache>
                <c:formatCode>#\ ##0\ "€"</c:formatCode>
                <c:ptCount val="26"/>
                <c:pt idx="0">
                  <c:v>33250</c:v>
                </c:pt>
                <c:pt idx="1">
                  <c:v>35606</c:v>
                </c:pt>
                <c:pt idx="2">
                  <c:v>37962</c:v>
                </c:pt>
                <c:pt idx="3">
                  <c:v>40318</c:v>
                </c:pt>
                <c:pt idx="4">
                  <c:v>42674</c:v>
                </c:pt>
                <c:pt idx="5">
                  <c:v>45030</c:v>
                </c:pt>
                <c:pt idx="6">
                  <c:v>47386</c:v>
                </c:pt>
                <c:pt idx="7">
                  <c:v>49742</c:v>
                </c:pt>
                <c:pt idx="8">
                  <c:v>52098</c:v>
                </c:pt>
                <c:pt idx="9">
                  <c:v>54454</c:v>
                </c:pt>
                <c:pt idx="10">
                  <c:v>56810</c:v>
                </c:pt>
                <c:pt idx="11">
                  <c:v>59166</c:v>
                </c:pt>
                <c:pt idx="12">
                  <c:v>61522</c:v>
                </c:pt>
                <c:pt idx="13">
                  <c:v>63878</c:v>
                </c:pt>
                <c:pt idx="14">
                  <c:v>66234</c:v>
                </c:pt>
                <c:pt idx="15">
                  <c:v>68590</c:v>
                </c:pt>
                <c:pt idx="16">
                  <c:v>70946</c:v>
                </c:pt>
                <c:pt idx="17">
                  <c:v>73302</c:v>
                </c:pt>
                <c:pt idx="18">
                  <c:v>75658</c:v>
                </c:pt>
                <c:pt idx="19">
                  <c:v>78014</c:v>
                </c:pt>
                <c:pt idx="20">
                  <c:v>80370</c:v>
                </c:pt>
                <c:pt idx="21">
                  <c:v>82726</c:v>
                </c:pt>
                <c:pt idx="22">
                  <c:v>85082</c:v>
                </c:pt>
                <c:pt idx="23">
                  <c:v>87438</c:v>
                </c:pt>
                <c:pt idx="24">
                  <c:v>89794</c:v>
                </c:pt>
                <c:pt idx="25">
                  <c:v>92150</c:v>
                </c:pt>
              </c:numCache>
            </c:numRef>
          </c:val>
          <c:smooth val="0"/>
          <c:extLst>
            <c:ext xmlns:c16="http://schemas.microsoft.com/office/drawing/2014/chart" uri="{C3380CC4-5D6E-409C-BE32-E72D297353CC}">
              <c16:uniqueId val="{00000001-3019-4221-990D-1DC98350F5AD}"/>
            </c:ext>
          </c:extLst>
        </c:ser>
        <c:dLbls>
          <c:showLegendKey val="0"/>
          <c:showVal val="0"/>
          <c:showCatName val="0"/>
          <c:showSerName val="0"/>
          <c:showPercent val="0"/>
          <c:showBubbleSize val="0"/>
        </c:dLbls>
        <c:smooth val="0"/>
        <c:axId val="1893280064"/>
        <c:axId val="1902689504"/>
      </c:lineChart>
      <c:catAx>
        <c:axId val="189328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2689504"/>
        <c:crosses val="autoZero"/>
        <c:auto val="1"/>
        <c:lblAlgn val="ctr"/>
        <c:lblOffset val="100"/>
        <c:noMultiLvlLbl val="0"/>
      </c:catAx>
      <c:valAx>
        <c:axId val="190268950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328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10'!$C$101</c:f>
              <c:strCache>
                <c:ptCount val="1"/>
                <c:pt idx="0">
                  <c:v>Kiinteistön kuukausikohtainen sähkönkulutus kWh/kk</c:v>
                </c:pt>
              </c:strCache>
            </c:strRef>
          </c:tx>
          <c:spPr>
            <a:solidFill>
              <a:schemeClr val="accent1"/>
            </a:solidFill>
            <a:ln>
              <a:noFill/>
            </a:ln>
            <a:effectLst/>
          </c:spPr>
          <c:invertIfNegative val="0"/>
          <c:val>
            <c:numRef>
              <c:f>'PV 30v kannattavuus 10'!$C$102:$C$113</c:f>
              <c:numCache>
                <c:formatCode>0</c:formatCode>
                <c:ptCount val="12"/>
                <c:pt idx="0">
                  <c:v>8460</c:v>
                </c:pt>
                <c:pt idx="1">
                  <c:v>8460</c:v>
                </c:pt>
                <c:pt idx="2">
                  <c:v>7896.0000000000009</c:v>
                </c:pt>
                <c:pt idx="3">
                  <c:v>7896.0000000000009</c:v>
                </c:pt>
                <c:pt idx="4">
                  <c:v>7426</c:v>
                </c:pt>
                <c:pt idx="5">
                  <c:v>6580.0000000000009</c:v>
                </c:pt>
                <c:pt idx="6">
                  <c:v>6580.0000000000009</c:v>
                </c:pt>
                <c:pt idx="7">
                  <c:v>7426</c:v>
                </c:pt>
                <c:pt idx="8">
                  <c:v>7896.0000000000009</c:v>
                </c:pt>
                <c:pt idx="9">
                  <c:v>8460</c:v>
                </c:pt>
                <c:pt idx="10">
                  <c:v>8460</c:v>
                </c:pt>
                <c:pt idx="11">
                  <c:v>8460</c:v>
                </c:pt>
              </c:numCache>
            </c:numRef>
          </c:val>
          <c:extLst>
            <c:ext xmlns:c16="http://schemas.microsoft.com/office/drawing/2014/chart" uri="{C3380CC4-5D6E-409C-BE32-E72D297353CC}">
              <c16:uniqueId val="{00000000-F084-497E-980B-CC1BA26F316B}"/>
            </c:ext>
          </c:extLst>
        </c:ser>
        <c:ser>
          <c:idx val="4"/>
          <c:order val="4"/>
          <c:tx>
            <c:strRef>
              <c:f>'PV 30v kannattavuus 10'!$G$101</c:f>
              <c:strCache>
                <c:ptCount val="1"/>
                <c:pt idx="0">
                  <c:v>Aurinkosähkön tuotanto kWh/kk</c:v>
                </c:pt>
              </c:strCache>
            </c:strRef>
          </c:tx>
          <c:spPr>
            <a:solidFill>
              <a:schemeClr val="accent3">
                <a:lumMod val="60000"/>
              </a:schemeClr>
            </a:solidFill>
            <a:ln>
              <a:noFill/>
            </a:ln>
            <a:effectLst/>
          </c:spPr>
          <c:invertIfNegative val="0"/>
          <c:val>
            <c:numRef>
              <c:f>'PV 30v kannattavuus 10'!$G$102:$G$113</c:f>
              <c:numCache>
                <c:formatCode>0</c:formatCode>
                <c:ptCount val="12"/>
                <c:pt idx="0">
                  <c:v>86.815872000000013</c:v>
                </c:pt>
                <c:pt idx="1">
                  <c:v>269.54928000000007</c:v>
                </c:pt>
                <c:pt idx="2">
                  <c:v>661.97102400000006</c:v>
                </c:pt>
                <c:pt idx="3">
                  <c:v>1039.6900800000001</c:v>
                </c:pt>
                <c:pt idx="4">
                  <c:v>1467.7308360000002</c:v>
                </c:pt>
                <c:pt idx="5">
                  <c:v>1478.1452400000003</c:v>
                </c:pt>
                <c:pt idx="6">
                  <c:v>1519.2777600000002</c:v>
                </c:pt>
                <c:pt idx="7">
                  <c:v>1109.615364</c:v>
                </c:pt>
                <c:pt idx="8">
                  <c:v>666.87192000000005</c:v>
                </c:pt>
                <c:pt idx="9">
                  <c:v>320.13352800000007</c:v>
                </c:pt>
                <c:pt idx="10">
                  <c:v>131.274</c:v>
                </c:pt>
                <c:pt idx="11">
                  <c:v>54.259920000000008</c:v>
                </c:pt>
              </c:numCache>
            </c:numRef>
          </c:val>
          <c:extLst>
            <c:ext xmlns:c16="http://schemas.microsoft.com/office/drawing/2014/chart" uri="{C3380CC4-5D6E-409C-BE32-E72D297353CC}">
              <c16:uniqueId val="{00000001-F084-497E-980B-CC1BA26F316B}"/>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10'!$D$101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10'!$D$102:$D$113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F084-497E-980B-CC1BA26F31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10'!$E$101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F084-497E-980B-CC1BA26F31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10'!$F$101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F084-497E-980B-CC1BA26F31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10'!$H$101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10'!$H$102:$H$113</c15:sqref>
                        </c15:formulaRef>
                      </c:ext>
                    </c:extLst>
                    <c:numCache>
                      <c:formatCode>0</c:formatCode>
                      <c:ptCount val="12"/>
                      <c:pt idx="0">
                        <c:v>86.815872000000013</c:v>
                      </c:pt>
                      <c:pt idx="1">
                        <c:v>269.54928000000007</c:v>
                      </c:pt>
                      <c:pt idx="2">
                        <c:v>661.97102400000006</c:v>
                      </c:pt>
                      <c:pt idx="3">
                        <c:v>1039.6900800000001</c:v>
                      </c:pt>
                      <c:pt idx="4">
                        <c:v>1467.7308360000002</c:v>
                      </c:pt>
                      <c:pt idx="5">
                        <c:v>1478.1452400000003</c:v>
                      </c:pt>
                      <c:pt idx="6">
                        <c:v>1519.2777600000002</c:v>
                      </c:pt>
                      <c:pt idx="7">
                        <c:v>1109.615364</c:v>
                      </c:pt>
                      <c:pt idx="8">
                        <c:v>666.87192000000005</c:v>
                      </c:pt>
                      <c:pt idx="9">
                        <c:v>320.13352800000007</c:v>
                      </c:pt>
                      <c:pt idx="10">
                        <c:v>131.274</c:v>
                      </c:pt>
                      <c:pt idx="11">
                        <c:v>54.259920000000008</c:v>
                      </c:pt>
                    </c:numCache>
                  </c:numRef>
                </c:val>
                <c:extLst xmlns:c15="http://schemas.microsoft.com/office/drawing/2012/chart">
                  <c:ext xmlns:c16="http://schemas.microsoft.com/office/drawing/2014/chart" uri="{C3380CC4-5D6E-409C-BE32-E72D297353CC}">
                    <c16:uniqueId val="{00000005-F084-497E-980B-CC1BA26F316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10'!$I$101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10'!$I$102:$I$113</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F084-497E-980B-CC1BA26F316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10'!$J$101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10'!$J$102:$J$113</c15:sqref>
                        </c15:formulaRef>
                      </c:ext>
                    </c:extLst>
                    <c:numCache>
                      <c:formatCode>0</c:formatCode>
                      <c:ptCount val="12"/>
                      <c:pt idx="0">
                        <c:v>8373.1841280000008</c:v>
                      </c:pt>
                      <c:pt idx="1">
                        <c:v>8190.4507199999998</c:v>
                      </c:pt>
                      <c:pt idx="2">
                        <c:v>7234.0289760000005</c:v>
                      </c:pt>
                      <c:pt idx="3">
                        <c:v>6856.3099200000006</c:v>
                      </c:pt>
                      <c:pt idx="4">
                        <c:v>5958.2691639999994</c:v>
                      </c:pt>
                      <c:pt idx="5">
                        <c:v>5101.8547600000002</c:v>
                      </c:pt>
                      <c:pt idx="6">
                        <c:v>5060.722240000001</c:v>
                      </c:pt>
                      <c:pt idx="7">
                        <c:v>6316.3846359999998</c:v>
                      </c:pt>
                      <c:pt idx="8">
                        <c:v>7229.1280800000004</c:v>
                      </c:pt>
                      <c:pt idx="9">
                        <c:v>8139.8664719999997</c:v>
                      </c:pt>
                      <c:pt idx="10">
                        <c:v>8328.7260000000006</c:v>
                      </c:pt>
                      <c:pt idx="11">
                        <c:v>8405.7400799999996</c:v>
                      </c:pt>
                    </c:numCache>
                  </c:numRef>
                </c:val>
                <c:extLst xmlns:c15="http://schemas.microsoft.com/office/drawing/2012/chart">
                  <c:ext xmlns:c16="http://schemas.microsoft.com/office/drawing/2014/chart" uri="{C3380CC4-5D6E-409C-BE32-E72D297353CC}">
                    <c16:uniqueId val="{00000007-F084-497E-980B-CC1BA26F316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10'!$K$101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10'!$K$102:$K$113</c15:sqref>
                        </c15:formulaRef>
                      </c:ext>
                    </c:extLst>
                    <c:numCache>
                      <c:formatCode>#\ ##0.00\ "€"</c:formatCode>
                      <c:ptCount val="12"/>
                      <c:pt idx="0">
                        <c:v>7.5989932761600008</c:v>
                      </c:pt>
                      <c:pt idx="1">
                        <c:v>23.593648478400006</c:v>
                      </c:pt>
                      <c:pt idx="2">
                        <c:v>57.942323730720005</c:v>
                      </c:pt>
                      <c:pt idx="3">
                        <c:v>91.004072702400009</c:v>
                      </c:pt>
                      <c:pt idx="4">
                        <c:v>128.47048007508002</c:v>
                      </c:pt>
                      <c:pt idx="5">
                        <c:v>129.38205285720002</c:v>
                      </c:pt>
                      <c:pt idx="6">
                        <c:v>132.9823823328</c:v>
                      </c:pt>
                      <c:pt idx="7">
                        <c:v>97.124632810919991</c:v>
                      </c:pt>
                      <c:pt idx="8">
                        <c:v>58.371299157600006</c:v>
                      </c:pt>
                      <c:pt idx="9">
                        <c:v>28.02128770584001</c:v>
                      </c:pt>
                      <c:pt idx="10">
                        <c:v>11.490413220000001</c:v>
                      </c:pt>
                      <c:pt idx="11">
                        <c:v>4.7493707976000001</c:v>
                      </c:pt>
                    </c:numCache>
                  </c:numRef>
                </c:val>
                <c:extLst xmlns:c15="http://schemas.microsoft.com/office/drawing/2012/chart">
                  <c:ext xmlns:c16="http://schemas.microsoft.com/office/drawing/2014/chart" uri="{C3380CC4-5D6E-409C-BE32-E72D297353CC}">
                    <c16:uniqueId val="{00000008-F084-497E-980B-CC1BA26F316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10'!$L$101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10'!$L$102:$L$113</c15:sqref>
                        </c15:formulaRef>
                      </c:ext>
                    </c:extLst>
                    <c:numCache>
                      <c:formatCode>#\ ##0.00\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F084-497E-980B-CC1BA26F316B}"/>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20'!$C$101</c:f>
              <c:strCache>
                <c:ptCount val="1"/>
                <c:pt idx="0">
                  <c:v>Kiinteistön kuukausikohtainen sähkönkulutus kWh/kk</c:v>
                </c:pt>
              </c:strCache>
            </c:strRef>
          </c:tx>
          <c:spPr>
            <a:solidFill>
              <a:schemeClr val="accent1"/>
            </a:solidFill>
            <a:ln>
              <a:noFill/>
            </a:ln>
            <a:effectLst/>
          </c:spPr>
          <c:invertIfNegative val="0"/>
          <c:val>
            <c:numRef>
              <c:f>'PV 30v kannattavuus 20'!$C$102:$C$113</c:f>
              <c:numCache>
                <c:formatCode>0</c:formatCode>
                <c:ptCount val="12"/>
                <c:pt idx="0">
                  <c:v>8460</c:v>
                </c:pt>
                <c:pt idx="1">
                  <c:v>8460</c:v>
                </c:pt>
                <c:pt idx="2">
                  <c:v>7896.0000000000009</c:v>
                </c:pt>
                <c:pt idx="3">
                  <c:v>7896.0000000000009</c:v>
                </c:pt>
                <c:pt idx="4">
                  <c:v>7426</c:v>
                </c:pt>
                <c:pt idx="5">
                  <c:v>6580.0000000000009</c:v>
                </c:pt>
                <c:pt idx="6">
                  <c:v>6580.0000000000009</c:v>
                </c:pt>
                <c:pt idx="7">
                  <c:v>7426</c:v>
                </c:pt>
                <c:pt idx="8">
                  <c:v>7896.0000000000009</c:v>
                </c:pt>
                <c:pt idx="9">
                  <c:v>8460</c:v>
                </c:pt>
                <c:pt idx="10">
                  <c:v>8460</c:v>
                </c:pt>
                <c:pt idx="11">
                  <c:v>8460</c:v>
                </c:pt>
              </c:numCache>
            </c:numRef>
          </c:val>
          <c:extLst>
            <c:ext xmlns:c16="http://schemas.microsoft.com/office/drawing/2014/chart" uri="{C3380CC4-5D6E-409C-BE32-E72D297353CC}">
              <c16:uniqueId val="{00000000-D39D-4188-9CAE-7A6F18131BA2}"/>
            </c:ext>
          </c:extLst>
        </c:ser>
        <c:ser>
          <c:idx val="4"/>
          <c:order val="4"/>
          <c:tx>
            <c:strRef>
              <c:f>'PV 30v kannattavuus 20'!$G$101</c:f>
              <c:strCache>
                <c:ptCount val="1"/>
                <c:pt idx="0">
                  <c:v>Aurinkosähkön tuotanto kWh/kk</c:v>
                </c:pt>
              </c:strCache>
            </c:strRef>
          </c:tx>
          <c:spPr>
            <a:solidFill>
              <a:schemeClr val="accent3">
                <a:lumMod val="60000"/>
              </a:schemeClr>
            </a:solidFill>
            <a:ln>
              <a:noFill/>
            </a:ln>
            <a:effectLst/>
          </c:spPr>
          <c:invertIfNegative val="0"/>
          <c:val>
            <c:numRef>
              <c:f>'PV 30v kannattavuus 20'!$G$102:$G$113</c:f>
              <c:numCache>
                <c:formatCode>0</c:formatCode>
                <c:ptCount val="12"/>
                <c:pt idx="0">
                  <c:v>175.38559999999998</c:v>
                </c:pt>
                <c:pt idx="1">
                  <c:v>544.5440000000001</c:v>
                </c:pt>
                <c:pt idx="2">
                  <c:v>1337.3152000000002</c:v>
                </c:pt>
                <c:pt idx="3">
                  <c:v>2100.384</c:v>
                </c:pt>
                <c:pt idx="4">
                  <c:v>2965.1128000000003</c:v>
                </c:pt>
                <c:pt idx="5">
                  <c:v>2986.1520000000005</c:v>
                </c:pt>
                <c:pt idx="6">
                  <c:v>3069.248</c:v>
                </c:pt>
                <c:pt idx="7">
                  <c:v>2241.6471999999999</c:v>
                </c:pt>
                <c:pt idx="8">
                  <c:v>1347.2160000000001</c:v>
                </c:pt>
                <c:pt idx="9">
                  <c:v>646.73440000000005</c:v>
                </c:pt>
                <c:pt idx="10">
                  <c:v>265.2</c:v>
                </c:pt>
                <c:pt idx="11">
                  <c:v>109.61600000000001</c:v>
                </c:pt>
              </c:numCache>
            </c:numRef>
          </c:val>
          <c:extLst>
            <c:ext xmlns:c16="http://schemas.microsoft.com/office/drawing/2014/chart" uri="{C3380CC4-5D6E-409C-BE32-E72D297353CC}">
              <c16:uniqueId val="{00000001-D39D-4188-9CAE-7A6F18131BA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20'!$D$101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20'!$D$102:$D$113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D39D-4188-9CAE-7A6F18131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20'!$E$101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20'!$E$102:$E$113</c15:sqref>
                        </c15:formulaRef>
                      </c:ext>
                    </c:extLst>
                    <c:numCache>
                      <c:formatCode>0.0</c:formatCode>
                      <c:ptCount val="12"/>
                      <c:pt idx="0">
                        <c:v>87.53</c:v>
                      </c:pt>
                      <c:pt idx="1">
                        <c:v>87.53</c:v>
                      </c:pt>
                      <c:pt idx="2">
                        <c:v>87.53</c:v>
                      </c:pt>
                      <c:pt idx="3">
                        <c:v>87.53</c:v>
                      </c:pt>
                      <c:pt idx="4">
                        <c:v>87.53</c:v>
                      </c:pt>
                      <c:pt idx="5">
                        <c:v>87.53</c:v>
                      </c:pt>
                      <c:pt idx="6">
                        <c:v>87.53</c:v>
                      </c:pt>
                      <c:pt idx="7">
                        <c:v>87.53</c:v>
                      </c:pt>
                      <c:pt idx="8">
                        <c:v>87.53</c:v>
                      </c:pt>
                      <c:pt idx="9">
                        <c:v>87.53</c:v>
                      </c:pt>
                      <c:pt idx="10">
                        <c:v>87.53</c:v>
                      </c:pt>
                      <c:pt idx="11">
                        <c:v>87.53</c:v>
                      </c:pt>
                    </c:numCache>
                  </c:numRef>
                </c:val>
                <c:extLst xmlns:c15="http://schemas.microsoft.com/office/drawing/2012/chart">
                  <c:ext xmlns:c16="http://schemas.microsoft.com/office/drawing/2014/chart" uri="{C3380CC4-5D6E-409C-BE32-E72D297353CC}">
                    <c16:uniqueId val="{00000003-D39D-4188-9CAE-7A6F18131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20'!$F$101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D39D-4188-9CAE-7A6F18131B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20'!$H$101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20'!$H$102:$H$113</c15:sqref>
                        </c15:formulaRef>
                      </c:ext>
                    </c:extLst>
                    <c:numCache>
                      <c:formatCode>0</c:formatCode>
                      <c:ptCount val="12"/>
                      <c:pt idx="0">
                        <c:v>175.38559999999998</c:v>
                      </c:pt>
                      <c:pt idx="1">
                        <c:v>544.5440000000001</c:v>
                      </c:pt>
                      <c:pt idx="2">
                        <c:v>1337.3152000000002</c:v>
                      </c:pt>
                      <c:pt idx="3">
                        <c:v>2100.384</c:v>
                      </c:pt>
                      <c:pt idx="4">
                        <c:v>2965.1128000000003</c:v>
                      </c:pt>
                      <c:pt idx="5">
                        <c:v>2632.0000000000005</c:v>
                      </c:pt>
                      <c:pt idx="6">
                        <c:v>2632.0000000000005</c:v>
                      </c:pt>
                      <c:pt idx="7">
                        <c:v>2241.6471999999999</c:v>
                      </c:pt>
                      <c:pt idx="8">
                        <c:v>1347.2160000000001</c:v>
                      </c:pt>
                      <c:pt idx="9">
                        <c:v>646.73440000000005</c:v>
                      </c:pt>
                      <c:pt idx="10">
                        <c:v>265.2</c:v>
                      </c:pt>
                      <c:pt idx="11">
                        <c:v>109.61600000000001</c:v>
                      </c:pt>
                    </c:numCache>
                  </c:numRef>
                </c:val>
                <c:extLst xmlns:c15="http://schemas.microsoft.com/office/drawing/2012/chart">
                  <c:ext xmlns:c16="http://schemas.microsoft.com/office/drawing/2014/chart" uri="{C3380CC4-5D6E-409C-BE32-E72D297353CC}">
                    <c16:uniqueId val="{00000005-D39D-4188-9CAE-7A6F18131BA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20'!$I$101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20'!$I$102:$I$113</c15:sqref>
                        </c15:formulaRef>
                      </c:ext>
                    </c:extLst>
                    <c:numCache>
                      <c:formatCode>0</c:formatCode>
                      <c:ptCount val="12"/>
                      <c:pt idx="0">
                        <c:v>0</c:v>
                      </c:pt>
                      <c:pt idx="1">
                        <c:v>0</c:v>
                      </c:pt>
                      <c:pt idx="2">
                        <c:v>0</c:v>
                      </c:pt>
                      <c:pt idx="3">
                        <c:v>0</c:v>
                      </c:pt>
                      <c:pt idx="4">
                        <c:v>0</c:v>
                      </c:pt>
                      <c:pt idx="5">
                        <c:v>354.15200000000004</c:v>
                      </c:pt>
                      <c:pt idx="6">
                        <c:v>437.24799999999959</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D39D-4188-9CAE-7A6F18131B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20'!$J$101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20'!$J$102:$J$113</c15:sqref>
                        </c15:formulaRef>
                      </c:ext>
                    </c:extLst>
                    <c:numCache>
                      <c:formatCode>0</c:formatCode>
                      <c:ptCount val="12"/>
                      <c:pt idx="0">
                        <c:v>8284.6144000000004</c:v>
                      </c:pt>
                      <c:pt idx="1">
                        <c:v>7915.4560000000001</c:v>
                      </c:pt>
                      <c:pt idx="2">
                        <c:v>6558.6848000000009</c:v>
                      </c:pt>
                      <c:pt idx="3">
                        <c:v>5795.6160000000009</c:v>
                      </c:pt>
                      <c:pt idx="4">
                        <c:v>4460.8871999999992</c:v>
                      </c:pt>
                      <c:pt idx="5">
                        <c:v>3948.0000000000005</c:v>
                      </c:pt>
                      <c:pt idx="6">
                        <c:v>3948.0000000000005</c:v>
                      </c:pt>
                      <c:pt idx="7">
                        <c:v>5184.3528000000006</c:v>
                      </c:pt>
                      <c:pt idx="8">
                        <c:v>6548.7840000000006</c:v>
                      </c:pt>
                      <c:pt idx="9">
                        <c:v>7813.2655999999997</c:v>
                      </c:pt>
                      <c:pt idx="10">
                        <c:v>8194.7999999999993</c:v>
                      </c:pt>
                      <c:pt idx="11">
                        <c:v>8350.384</c:v>
                      </c:pt>
                    </c:numCache>
                  </c:numRef>
                </c:val>
                <c:extLst xmlns:c15="http://schemas.microsoft.com/office/drawing/2012/chart">
                  <c:ext xmlns:c16="http://schemas.microsoft.com/office/drawing/2014/chart" uri="{C3380CC4-5D6E-409C-BE32-E72D297353CC}">
                    <c16:uniqueId val="{00000007-D39D-4188-9CAE-7A6F18131B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20'!$K$101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20'!$K$102:$K$113</c15:sqref>
                        </c15:formulaRef>
                      </c:ext>
                    </c:extLst>
                    <c:numCache>
                      <c:formatCode>#\ ##0.00\ "€"</c:formatCode>
                      <c:ptCount val="12"/>
                      <c:pt idx="0">
                        <c:v>15.351501567999998</c:v>
                      </c:pt>
                      <c:pt idx="1">
                        <c:v>47.663936320000005</c:v>
                      </c:pt>
                      <c:pt idx="2">
                        <c:v>117.05519945600001</c:v>
                      </c:pt>
                      <c:pt idx="3">
                        <c:v>183.84661152000001</c:v>
                      </c:pt>
                      <c:pt idx="4">
                        <c:v>259.53632338400007</c:v>
                      </c:pt>
                      <c:pt idx="5">
                        <c:v>261.37788456000004</c:v>
                      </c:pt>
                      <c:pt idx="6">
                        <c:v>268.65127744000006</c:v>
                      </c:pt>
                      <c:pt idx="7">
                        <c:v>196.21137941599997</c:v>
                      </c:pt>
                      <c:pt idx="8">
                        <c:v>117.92181648</c:v>
                      </c:pt>
                      <c:pt idx="9">
                        <c:v>56.608662032000005</c:v>
                      </c:pt>
                      <c:pt idx="10">
                        <c:v>23.212955999999998</c:v>
                      </c:pt>
                      <c:pt idx="11">
                        <c:v>9.5946884800000003</c:v>
                      </c:pt>
                    </c:numCache>
                  </c:numRef>
                </c:val>
                <c:extLst xmlns:c15="http://schemas.microsoft.com/office/drawing/2012/chart">
                  <c:ext xmlns:c16="http://schemas.microsoft.com/office/drawing/2014/chart" uri="{C3380CC4-5D6E-409C-BE32-E72D297353CC}">
                    <c16:uniqueId val="{00000008-D39D-4188-9CAE-7A6F18131B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20'!$L$101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20'!$L$102:$L$113</c15:sqref>
                        </c15:formulaRef>
                      </c:ext>
                    </c:extLst>
                    <c:numCache>
                      <c:formatCode>#\ ##0.00\ "€"</c:formatCode>
                      <c:ptCount val="12"/>
                      <c:pt idx="0">
                        <c:v>0</c:v>
                      </c:pt>
                      <c:pt idx="1">
                        <c:v>0</c:v>
                      </c:pt>
                      <c:pt idx="2">
                        <c:v>0</c:v>
                      </c:pt>
                      <c:pt idx="3">
                        <c:v>0</c:v>
                      </c:pt>
                      <c:pt idx="4">
                        <c:v>0</c:v>
                      </c:pt>
                      <c:pt idx="5">
                        <c:v>7.0830400000000004</c:v>
                      </c:pt>
                      <c:pt idx="6">
                        <c:v>8.7449599999999919</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D39D-4188-9CAE-7A6F18131BA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-1</xdr:colOff>
      <xdr:row>38</xdr:row>
      <xdr:rowOff>4234</xdr:rowOff>
    </xdr:from>
    <xdr:to>
      <xdr:col>33</xdr:col>
      <xdr:colOff>95250</xdr:colOff>
      <xdr:row>56</xdr:row>
      <xdr:rowOff>158750</xdr:rowOff>
    </xdr:to>
    <xdr:graphicFrame macro="">
      <xdr:nvGraphicFramePr>
        <xdr:cNvPr id="2" name="Kaavio 1">
          <a:extLst>
            <a:ext uri="{FF2B5EF4-FFF2-40B4-BE49-F238E27FC236}">
              <a16:creationId xmlns:a16="http://schemas.microsoft.com/office/drawing/2014/main" id="{AE8A5808-F090-493B-8A04-A79AC5CFB2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82550</xdr:colOff>
      <xdr:row>38</xdr:row>
      <xdr:rowOff>57150</xdr:rowOff>
    </xdr:from>
    <xdr:to>
      <xdr:col>32</xdr:col>
      <xdr:colOff>232833</xdr:colOff>
      <xdr:row>61</xdr:row>
      <xdr:rowOff>10583</xdr:rowOff>
    </xdr:to>
    <xdr:graphicFrame macro="">
      <xdr:nvGraphicFramePr>
        <xdr:cNvPr id="2" name="Kaavio 1">
          <a:extLst>
            <a:ext uri="{FF2B5EF4-FFF2-40B4-BE49-F238E27FC236}">
              <a16:creationId xmlns:a16="http://schemas.microsoft.com/office/drawing/2014/main" id="{E220A22E-73F2-40D0-8EC4-9F45E69B1E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6D7C5F7C-178A-49FB-84FD-5C44F44C2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300AE465-515C-4859-AE28-B8109EF10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tiva.fi/files/17067/Pitkan_aikavalin_korjausrakentamisen_strategia_2020-2050.pdf" TargetMode="External"/><Relationship Id="rId2" Type="http://schemas.openxmlformats.org/officeDocument/2006/relationships/hyperlink" Target="https://www.motiva.fi/files/17067/Pitkan_aikavalin_korjausrakentamisen_strategia_2020-2050.pdf" TargetMode="External"/><Relationship Id="rId1" Type="http://schemas.openxmlformats.org/officeDocument/2006/relationships/hyperlink" Target="https://kestavyysloikka.ymparisto.fi/kirkkonummen-volskodin-energiaremontilla-oljynkulutus-laskee-60-prosenttia/" TargetMode="External"/><Relationship Id="rId5" Type="http://schemas.openxmlformats.org/officeDocument/2006/relationships/printerSettings" Target="../printerSettings/printerSettings2.bin"/><Relationship Id="rId4" Type="http://schemas.openxmlformats.org/officeDocument/2006/relationships/hyperlink" Target="https://kestavyysloikka.ymparisto.fi/muhoksen-huovilan-koulu-oljysta-maalampo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printerSettings" Target="../printerSettings/printerSettings3.bin"/><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hyperlink" Target="https://co2data.fi/rakentaminen/" TargetMode="External"/><Relationship Id="rId2" Type="http://schemas.openxmlformats.org/officeDocument/2006/relationships/hyperlink" Target="http://www.vero.fi/" TargetMode="External"/><Relationship Id="rId16" Type="http://schemas.openxmlformats.org/officeDocument/2006/relationships/comments" Target="../comments1.xm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s://co2data.fi/rakentaminen/" TargetMode="External"/><Relationship Id="rId5" Type="http://schemas.openxmlformats.org/officeDocument/2006/relationships/hyperlink" Target="http://www.sulpu.fi/" TargetMode="External"/><Relationship Id="rId15" Type="http://schemas.openxmlformats.org/officeDocument/2006/relationships/vmlDrawing" Target="../drawings/vmlDrawing1.vml"/><Relationship Id="rId10" Type="http://schemas.openxmlformats.org/officeDocument/2006/relationships/hyperlink" Target="https://www.motiva.fi/ratkaisut/energiankaytto_suomessa/co2-paastokertoimet" TargetMode="External"/><Relationship Id="rId4" Type="http://schemas.openxmlformats.org/officeDocument/2006/relationships/hyperlink" Target="http://www.ara.fi/" TargetMode="External"/><Relationship Id="rId9" Type="http://schemas.openxmlformats.org/officeDocument/2006/relationships/hyperlink" Target="http://www.ilmastolaskuri.fi/"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vero.fi/" TargetMode="External"/><Relationship Id="rId13" Type="http://schemas.openxmlformats.org/officeDocument/2006/relationships/printerSettings" Target="../printerSettings/printerSettings4.bin"/><Relationship Id="rId3" Type="http://schemas.openxmlformats.org/officeDocument/2006/relationships/hyperlink" Target="http://www.businessfinland.fi/" TargetMode="External"/><Relationship Id="rId7" Type="http://schemas.openxmlformats.org/officeDocument/2006/relationships/hyperlink" Target="https://www.motiva.fi/ratkaisut/energiankaytto_suomessa/co2-paastokertoimet" TargetMode="External"/><Relationship Id="rId12" Type="http://schemas.openxmlformats.org/officeDocument/2006/relationships/hyperlink" Target="https://co2data.fi/rakentaminen/" TargetMode="External"/><Relationship Id="rId2" Type="http://schemas.openxmlformats.org/officeDocument/2006/relationships/hyperlink" Target="http://www.vero.fi/" TargetMode="External"/><Relationship Id="rId16" Type="http://schemas.openxmlformats.org/officeDocument/2006/relationships/comments" Target="../comments2.xml"/><Relationship Id="rId1" Type="http://schemas.openxmlformats.org/officeDocument/2006/relationships/hyperlink" Target="http://www.energia.fi/" TargetMode="External"/><Relationship Id="rId6" Type="http://schemas.openxmlformats.org/officeDocument/2006/relationships/hyperlink" Target="http://www.ilmastolaskuri.fi/" TargetMode="External"/><Relationship Id="rId11" Type="http://schemas.openxmlformats.org/officeDocument/2006/relationships/hyperlink" Target="https://co2data.fi/rakentaminen/" TargetMode="External"/><Relationship Id="rId5" Type="http://schemas.openxmlformats.org/officeDocument/2006/relationships/hyperlink" Target="http://www.sulpu.fi/" TargetMode="External"/><Relationship Id="rId15" Type="http://schemas.openxmlformats.org/officeDocument/2006/relationships/vmlDrawing" Target="../drawings/vmlDrawing2.vml"/><Relationship Id="rId10" Type="http://schemas.openxmlformats.org/officeDocument/2006/relationships/hyperlink" Target="http://www.ara.fi/" TargetMode="External"/><Relationship Id="rId4" Type="http://schemas.openxmlformats.org/officeDocument/2006/relationships/hyperlink" Target="http://www.ara.fi/" TargetMode="External"/><Relationship Id="rId9" Type="http://schemas.openxmlformats.org/officeDocument/2006/relationships/hyperlink" Target="http://www.businessfinland.fi/" TargetMode="External"/><Relationship Id="rId1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co2data.fi/rakentaminen/" TargetMode="External"/><Relationship Id="rId7" Type="http://schemas.openxmlformats.org/officeDocument/2006/relationships/comments" Target="../comments3.xml"/><Relationship Id="rId2" Type="http://schemas.openxmlformats.org/officeDocument/2006/relationships/hyperlink" Target="https://www.motiva.fi/ratkaisut/energiankaytto_suomessa/co2-paastokertoimet" TargetMode="External"/><Relationship Id="rId1" Type="http://schemas.openxmlformats.org/officeDocument/2006/relationships/hyperlink" Target="http://www.ilmastolaskuri.fi/"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hyperlink" Target="https://co2data.fi/rakentamin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2data.fi/rakentaminen/" TargetMode="External"/><Relationship Id="rId7" Type="http://schemas.openxmlformats.org/officeDocument/2006/relationships/comments" Target="../comments4.xml"/><Relationship Id="rId2" Type="http://schemas.openxmlformats.org/officeDocument/2006/relationships/hyperlink" Target="https://www.motiva.fi/ratkaisut/energiankaytto_suomessa/co2-paastokertoimet" TargetMode="External"/><Relationship Id="rId1" Type="http://schemas.openxmlformats.org/officeDocument/2006/relationships/hyperlink" Target="http://www.ilmastolaskuri.fi/"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hyperlink" Target="https://co2data.fi/rakentamin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4980-6671-4FDE-8868-1B3C717B0D6C}">
  <dimension ref="A1:H27"/>
  <sheetViews>
    <sheetView tabSelected="1" topLeftCell="A4" workbookViewId="0">
      <selection sqref="A1:H5"/>
    </sheetView>
  </sheetViews>
  <sheetFormatPr defaultRowHeight="14.5" x14ac:dyDescent="0.35"/>
  <cols>
    <col min="3" max="3" width="10.1796875" customWidth="1"/>
  </cols>
  <sheetData>
    <row r="1" spans="1:8" x14ac:dyDescent="0.35">
      <c r="A1" s="329" t="s">
        <v>124</v>
      </c>
      <c r="B1" s="330"/>
      <c r="C1" s="330"/>
      <c r="D1" s="330"/>
      <c r="E1" s="330"/>
      <c r="F1" s="330"/>
      <c r="G1" s="330"/>
      <c r="H1" s="330"/>
    </row>
    <row r="2" spans="1:8" x14ac:dyDescent="0.35">
      <c r="A2" s="330"/>
      <c r="B2" s="330"/>
      <c r="C2" s="330"/>
      <c r="D2" s="330"/>
      <c r="E2" s="330"/>
      <c r="F2" s="330"/>
      <c r="G2" s="330"/>
      <c r="H2" s="330"/>
    </row>
    <row r="3" spans="1:8" x14ac:dyDescent="0.35">
      <c r="A3" s="330"/>
      <c r="B3" s="330"/>
      <c r="C3" s="330"/>
      <c r="D3" s="330"/>
      <c r="E3" s="330"/>
      <c r="F3" s="330"/>
      <c r="G3" s="330"/>
      <c r="H3" s="330"/>
    </row>
    <row r="4" spans="1:8" x14ac:dyDescent="0.35">
      <c r="A4" s="330"/>
      <c r="B4" s="330"/>
      <c r="C4" s="330"/>
      <c r="D4" s="330"/>
      <c r="E4" s="330"/>
      <c r="F4" s="330"/>
      <c r="G4" s="330"/>
      <c r="H4" s="330"/>
    </row>
    <row r="5" spans="1:8" x14ac:dyDescent="0.35">
      <c r="A5" s="330"/>
      <c r="B5" s="330"/>
      <c r="C5" s="330"/>
      <c r="D5" s="330"/>
      <c r="E5" s="330"/>
      <c r="F5" s="330"/>
      <c r="G5" s="330"/>
      <c r="H5" s="330"/>
    </row>
    <row r="7" spans="1:8" x14ac:dyDescent="0.35">
      <c r="A7" s="331" t="s">
        <v>125</v>
      </c>
      <c r="B7" s="331"/>
      <c r="C7" s="331"/>
      <c r="D7" s="331"/>
      <c r="E7" s="331"/>
      <c r="F7" s="331"/>
      <c r="G7" s="331"/>
      <c r="H7" s="331"/>
    </row>
    <row r="8" spans="1:8" x14ac:dyDescent="0.35">
      <c r="A8" s="331"/>
      <c r="B8" s="331"/>
      <c r="C8" s="331"/>
      <c r="D8" s="331"/>
      <c r="E8" s="331"/>
      <c r="F8" s="331"/>
      <c r="G8" s="331"/>
      <c r="H8" s="331"/>
    </row>
    <row r="9" spans="1:8" x14ac:dyDescent="0.35">
      <c r="A9" s="332" t="s">
        <v>126</v>
      </c>
      <c r="B9" s="332"/>
      <c r="C9" s="332"/>
      <c r="D9" s="332"/>
      <c r="E9" s="332"/>
      <c r="F9" s="332"/>
      <c r="G9" s="332"/>
      <c r="H9" s="332"/>
    </row>
    <row r="10" spans="1:8" x14ac:dyDescent="0.35">
      <c r="A10" s="332"/>
      <c r="B10" s="332"/>
      <c r="C10" s="332"/>
      <c r="D10" s="332"/>
      <c r="E10" s="332"/>
      <c r="F10" s="332"/>
      <c r="G10" s="332"/>
      <c r="H10" s="332"/>
    </row>
    <row r="11" spans="1:8" x14ac:dyDescent="0.35">
      <c r="A11" s="331" t="s">
        <v>132</v>
      </c>
      <c r="B11" s="331"/>
      <c r="C11" s="331"/>
      <c r="D11" s="331"/>
      <c r="E11" s="331"/>
      <c r="F11" s="331"/>
      <c r="G11" s="331"/>
      <c r="H11" s="331"/>
    </row>
    <row r="12" spans="1:8" x14ac:dyDescent="0.35">
      <c r="A12" s="331"/>
      <c r="B12" s="331"/>
      <c r="C12" s="331"/>
      <c r="D12" s="331"/>
      <c r="E12" s="331"/>
      <c r="F12" s="331"/>
      <c r="G12" s="331"/>
      <c r="H12" s="331"/>
    </row>
    <row r="13" spans="1:8" x14ac:dyDescent="0.35">
      <c r="A13" s="84"/>
      <c r="B13" s="84"/>
      <c r="C13" s="84"/>
      <c r="D13" s="84"/>
      <c r="E13" s="84"/>
      <c r="F13" s="84"/>
      <c r="G13" s="84"/>
      <c r="H13" s="84"/>
    </row>
    <row r="14" spans="1:8" x14ac:dyDescent="0.35">
      <c r="A14" s="331" t="s">
        <v>127</v>
      </c>
      <c r="B14" s="331"/>
      <c r="C14" s="331"/>
      <c r="D14" s="331"/>
      <c r="E14" s="331"/>
      <c r="F14" s="331"/>
      <c r="G14" s="331"/>
      <c r="H14" s="331"/>
    </row>
    <row r="15" spans="1:8" x14ac:dyDescent="0.35">
      <c r="A15" s="331"/>
      <c r="B15" s="331"/>
      <c r="C15" s="331"/>
      <c r="D15" s="331"/>
      <c r="E15" s="331"/>
      <c r="F15" s="331"/>
      <c r="G15" s="331"/>
      <c r="H15" s="331"/>
    </row>
    <row r="16" spans="1:8" x14ac:dyDescent="0.35">
      <c r="A16" s="331"/>
      <c r="B16" s="331"/>
      <c r="C16" s="331"/>
      <c r="D16" s="331"/>
      <c r="E16" s="331"/>
      <c r="F16" s="331"/>
      <c r="G16" s="331"/>
      <c r="H16" s="331"/>
    </row>
    <row r="18" spans="1:8" x14ac:dyDescent="0.35">
      <c r="A18" s="333" t="s">
        <v>226</v>
      </c>
      <c r="B18" s="333"/>
      <c r="C18" s="333"/>
      <c r="D18" s="333"/>
      <c r="E18" s="333"/>
      <c r="F18" s="333"/>
      <c r="G18" s="333"/>
      <c r="H18" s="333"/>
    </row>
    <row r="19" spans="1:8" x14ac:dyDescent="0.35">
      <c r="A19" s="333"/>
      <c r="B19" s="333"/>
      <c r="C19" s="333"/>
      <c r="D19" s="333"/>
      <c r="E19" s="333"/>
      <c r="F19" s="333"/>
      <c r="G19" s="333"/>
      <c r="H19" s="333"/>
    </row>
    <row r="22" spans="1:8" x14ac:dyDescent="0.35">
      <c r="B22" t="s">
        <v>128</v>
      </c>
      <c r="C22" t="s">
        <v>129</v>
      </c>
      <c r="D22" t="s">
        <v>123</v>
      </c>
    </row>
    <row r="23" spans="1:8" x14ac:dyDescent="0.35">
      <c r="B23" s="326" t="s">
        <v>254</v>
      </c>
      <c r="C23" s="327">
        <v>44091</v>
      </c>
      <c r="D23" s="328" t="s">
        <v>258</v>
      </c>
      <c r="E23" s="328"/>
      <c r="F23" s="328"/>
      <c r="G23" s="328"/>
      <c r="H23" s="328"/>
    </row>
    <row r="24" spans="1:8" x14ac:dyDescent="0.35">
      <c r="B24" s="326"/>
      <c r="C24" s="327"/>
      <c r="D24" s="328"/>
      <c r="E24" s="328"/>
      <c r="F24" s="328"/>
      <c r="G24" s="328"/>
      <c r="H24" s="328"/>
    </row>
    <row r="27" spans="1:8" ht="15.5" x14ac:dyDescent="0.35">
      <c r="A27" s="253" t="s">
        <v>275</v>
      </c>
    </row>
  </sheetData>
  <mergeCells count="9">
    <mergeCell ref="B23:B24"/>
    <mergeCell ref="C23:C24"/>
    <mergeCell ref="D23:H24"/>
    <mergeCell ref="A1:H5"/>
    <mergeCell ref="A7:H8"/>
    <mergeCell ref="A9:H10"/>
    <mergeCell ref="A11:H12"/>
    <mergeCell ref="A14:H16"/>
    <mergeCell ref="A18:H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FEFC-761A-4AED-A550-E823656C83CE}">
  <sheetPr>
    <outlinePr summaryBelow="0" summaryRight="0"/>
  </sheetPr>
  <dimension ref="A1:K926"/>
  <sheetViews>
    <sheetView showGridLines="0" zoomScale="85" zoomScaleNormal="85" workbookViewId="0">
      <selection activeCell="A2" sqref="A2"/>
    </sheetView>
  </sheetViews>
  <sheetFormatPr defaultColWidth="14.54296875" defaultRowHeight="15" customHeight="1" x14ac:dyDescent="0.35"/>
  <cols>
    <col min="1" max="1" width="25.54296875" style="2" customWidth="1"/>
    <col min="2" max="2" width="15.54296875" style="2" customWidth="1"/>
    <col min="3" max="3" width="25.54296875" style="2" customWidth="1"/>
    <col min="4" max="4" width="20.54296875" style="2" customWidth="1"/>
    <col min="5" max="5" width="18.1796875" style="2" customWidth="1"/>
    <col min="6" max="7" width="15.54296875" style="2" customWidth="1"/>
    <col min="8" max="8" width="25.54296875" style="2" customWidth="1"/>
    <col min="9" max="10" width="15.54296875" style="2" customWidth="1"/>
    <col min="11" max="11" width="30.54296875" style="2" customWidth="1"/>
    <col min="12" max="12" width="15.1796875" style="2" customWidth="1"/>
    <col min="13" max="13" width="15.54296875" style="2" customWidth="1"/>
    <col min="14" max="14" width="20.81640625" style="2" customWidth="1"/>
    <col min="15" max="15" width="15.453125" style="2" customWidth="1"/>
    <col min="16" max="16" width="13.1796875" style="2" customWidth="1"/>
    <col min="17" max="17" width="14.54296875" style="2" customWidth="1"/>
    <col min="18" max="16384" width="14.54296875" style="2"/>
  </cols>
  <sheetData>
    <row r="1" spans="1:9" ht="21" customHeight="1" x14ac:dyDescent="0.4">
      <c r="A1" s="336" t="s">
        <v>109</v>
      </c>
      <c r="B1" s="336"/>
      <c r="C1" s="336"/>
      <c r="D1" s="336"/>
      <c r="E1" s="336"/>
      <c r="F1" s="336"/>
      <c r="G1" s="336"/>
    </row>
    <row r="2" spans="1:9" ht="18.5" x14ac:dyDescent="0.45">
      <c r="A2" s="1"/>
    </row>
    <row r="3" spans="1:9" ht="31" customHeight="1" x14ac:dyDescent="0.35">
      <c r="A3" s="334" t="s">
        <v>255</v>
      </c>
      <c r="B3" s="334"/>
      <c r="C3" s="334"/>
      <c r="D3" s="334"/>
      <c r="E3" s="334"/>
      <c r="F3" s="334"/>
      <c r="G3" s="334"/>
      <c r="H3" s="305"/>
      <c r="I3" s="305"/>
    </row>
    <row r="4" spans="1:9" ht="31" customHeight="1" x14ac:dyDescent="0.35">
      <c r="A4" s="334" t="s">
        <v>256</v>
      </c>
      <c r="B4" s="334"/>
      <c r="C4" s="334"/>
      <c r="D4" s="334"/>
      <c r="E4" s="334"/>
      <c r="F4" s="334"/>
      <c r="G4" s="334"/>
      <c r="H4" s="305"/>
      <c r="I4" s="305"/>
    </row>
    <row r="5" spans="1:9" s="83" customFormat="1" ht="15.5" x14ac:dyDescent="0.35">
      <c r="A5" s="335" t="s">
        <v>262</v>
      </c>
      <c r="B5" s="335"/>
      <c r="C5" s="335"/>
      <c r="D5" s="335"/>
      <c r="E5" s="335"/>
      <c r="F5" s="335"/>
      <c r="G5" s="320"/>
      <c r="H5" s="305"/>
      <c r="I5" s="305"/>
    </row>
    <row r="6" spans="1:9" s="104" customFormat="1" ht="15.5" x14ac:dyDescent="0.35">
      <c r="A6" s="297" t="s">
        <v>133</v>
      </c>
      <c r="B6" s="298"/>
      <c r="C6" s="299" t="s">
        <v>134</v>
      </c>
      <c r="D6" s="298"/>
      <c r="E6" s="298"/>
      <c r="F6" s="298"/>
      <c r="G6" s="298"/>
    </row>
    <row r="7" spans="1:9" s="83" customFormat="1" ht="31" customHeight="1" x14ac:dyDescent="0.35">
      <c r="A7" s="334" t="s">
        <v>241</v>
      </c>
      <c r="B7" s="334"/>
      <c r="C7" s="334"/>
      <c r="D7" s="334"/>
      <c r="E7" s="334"/>
      <c r="F7" s="334"/>
      <c r="G7" s="334"/>
      <c r="H7" s="305"/>
      <c r="I7" s="305"/>
    </row>
    <row r="8" spans="1:9" s="104" customFormat="1" ht="15.5" x14ac:dyDescent="0.35">
      <c r="A8" s="297" t="s">
        <v>133</v>
      </c>
      <c r="B8" s="298"/>
      <c r="C8" s="299" t="s">
        <v>134</v>
      </c>
      <c r="D8" s="298"/>
      <c r="E8" s="298"/>
      <c r="F8" s="298"/>
      <c r="G8" s="298"/>
    </row>
    <row r="9" spans="1:9" ht="15.5" x14ac:dyDescent="0.35">
      <c r="A9" s="6"/>
    </row>
    <row r="10" spans="1:9" ht="15.5" x14ac:dyDescent="0.35">
      <c r="A10" s="334" t="s">
        <v>249</v>
      </c>
      <c r="B10" s="334"/>
      <c r="C10" s="334"/>
      <c r="D10" s="334"/>
      <c r="E10" s="334"/>
      <c r="F10" s="334"/>
      <c r="G10" s="298"/>
    </row>
    <row r="11" spans="1:9" s="75" customFormat="1" ht="31" customHeight="1" x14ac:dyDescent="0.35">
      <c r="A11" s="334" t="s">
        <v>236</v>
      </c>
      <c r="B11" s="334"/>
      <c r="C11" s="334"/>
      <c r="D11" s="334"/>
      <c r="E11" s="334"/>
      <c r="F11" s="334"/>
      <c r="G11" s="334"/>
      <c r="H11" s="305"/>
      <c r="I11" s="305"/>
    </row>
    <row r="12" spans="1:9" ht="15.5" x14ac:dyDescent="0.35">
      <c r="A12" s="335" t="s">
        <v>227</v>
      </c>
      <c r="B12" s="335"/>
      <c r="C12" s="335"/>
      <c r="D12" s="335"/>
      <c r="E12" s="335"/>
      <c r="F12" s="335"/>
      <c r="G12" s="298"/>
    </row>
    <row r="13" spans="1:9" ht="15.5" x14ac:dyDescent="0.35">
      <c r="A13" s="40"/>
    </row>
    <row r="14" spans="1:9" ht="15.5" x14ac:dyDescent="0.35">
      <c r="A14" s="291" t="s">
        <v>44</v>
      </c>
    </row>
    <row r="15" spans="1:9" s="75" customFormat="1" ht="15.5" x14ac:dyDescent="0.35">
      <c r="A15" s="75" t="s">
        <v>237</v>
      </c>
    </row>
    <row r="16" spans="1:9" ht="15.5" x14ac:dyDescent="0.35">
      <c r="A16" s="85" t="s">
        <v>130</v>
      </c>
    </row>
    <row r="17" spans="1:11" ht="62" x14ac:dyDescent="0.35">
      <c r="A17" s="300" t="s">
        <v>263</v>
      </c>
      <c r="B17" s="7" t="s">
        <v>247</v>
      </c>
      <c r="C17" s="41" t="s">
        <v>106</v>
      </c>
      <c r="D17" s="5" t="s">
        <v>135</v>
      </c>
      <c r="E17" s="307" t="s">
        <v>239</v>
      </c>
      <c r="F17" s="73" t="s">
        <v>136</v>
      </c>
      <c r="G17" s="73" t="s">
        <v>238</v>
      </c>
      <c r="H17" s="73" t="s">
        <v>228</v>
      </c>
      <c r="I17" s="73" t="s">
        <v>234</v>
      </c>
      <c r="J17" s="73" t="s">
        <v>248</v>
      </c>
      <c r="K17" s="72" t="s">
        <v>123</v>
      </c>
    </row>
    <row r="18" spans="1:11" ht="15.5" x14ac:dyDescent="0.35">
      <c r="A18" s="301">
        <v>0.7</v>
      </c>
      <c r="B18" s="293">
        <f>'IVLP 20v kannattavuus'!D19</f>
        <v>35000</v>
      </c>
      <c r="C18" s="87" t="s">
        <v>45</v>
      </c>
      <c r="D18" s="78">
        <f>'IVLP 20v kannattavuus'!D77</f>
        <v>59656.589275656028</v>
      </c>
      <c r="E18" s="80">
        <f>'IVLP 20v kannattavuus'!D78</f>
        <v>7</v>
      </c>
      <c r="F18" s="310">
        <f>'IVLP 20v kannattavuus'!D80</f>
        <v>0.14033015853531738</v>
      </c>
      <c r="G18" s="74">
        <f>('IVLP 20v kannattavuus'!J105-'IVLP 20v kannattavuus'!D71)</f>
        <v>2520.0000000000009</v>
      </c>
      <c r="H18" s="74">
        <f>'IVLP 20v kannattavuus'!D88</f>
        <v>12774.72</v>
      </c>
      <c r="I18" s="103">
        <f>'IVLP 20v kannattavuus'!D69</f>
        <v>0.7</v>
      </c>
      <c r="J18" s="296">
        <f>'IVLP 20v kannattavuus'!D70</f>
        <v>29750</v>
      </c>
      <c r="K18" s="280" t="s">
        <v>253</v>
      </c>
    </row>
    <row r="19" spans="1:11" s="3" customFormat="1" ht="15.5" x14ac:dyDescent="0.35">
      <c r="A19" s="302">
        <v>0.75</v>
      </c>
      <c r="B19" s="294">
        <v>40000</v>
      </c>
      <c r="C19" s="86" t="s">
        <v>45</v>
      </c>
      <c r="D19" s="79">
        <v>62523</v>
      </c>
      <c r="E19" s="81">
        <v>7</v>
      </c>
      <c r="F19" s="311">
        <v>0.13</v>
      </c>
      <c r="G19" s="81">
        <v>2700</v>
      </c>
      <c r="H19" s="77">
        <v>11911</v>
      </c>
      <c r="I19" s="102">
        <v>0.75</v>
      </c>
      <c r="J19" s="306">
        <v>34000</v>
      </c>
      <c r="K19" s="86" t="s">
        <v>260</v>
      </c>
    </row>
    <row r="20" spans="1:11" s="88" customFormat="1" ht="15.5" x14ac:dyDescent="0.35">
      <c r="A20" s="89"/>
      <c r="B20" s="90"/>
      <c r="C20" s="91"/>
      <c r="D20" s="92"/>
      <c r="E20" s="93"/>
      <c r="F20" s="94"/>
      <c r="G20" s="95"/>
    </row>
    <row r="21" spans="1:11" s="88" customFormat="1" ht="62" x14ac:dyDescent="0.35">
      <c r="A21" s="312" t="s">
        <v>252</v>
      </c>
      <c r="B21" s="7" t="s">
        <v>247</v>
      </c>
      <c r="C21" s="41" t="s">
        <v>106</v>
      </c>
      <c r="D21" s="5" t="s">
        <v>135</v>
      </c>
      <c r="E21" s="307" t="s">
        <v>239</v>
      </c>
      <c r="F21" s="73" t="s">
        <v>136</v>
      </c>
      <c r="G21" s="73" t="s">
        <v>238</v>
      </c>
      <c r="H21" s="71" t="s">
        <v>122</v>
      </c>
      <c r="I21" s="73" t="s">
        <v>234</v>
      </c>
      <c r="J21" s="73" t="s">
        <v>248</v>
      </c>
      <c r="K21" s="82" t="s">
        <v>123</v>
      </c>
    </row>
    <row r="22" spans="1:11" s="88" customFormat="1" ht="15.5" x14ac:dyDescent="0.35">
      <c r="A22" s="301">
        <v>0.96</v>
      </c>
      <c r="B22" s="295">
        <f>'MLP 25v kannattavuus'!D19</f>
        <v>45000</v>
      </c>
      <c r="C22" s="87" t="s">
        <v>45</v>
      </c>
      <c r="D22" s="78">
        <f>'MLP 25v kannattavuus'!D82</f>
        <v>124286.47991597425</v>
      </c>
      <c r="E22" s="80">
        <f>'MLP 25v kannattavuus'!D83</f>
        <v>6</v>
      </c>
      <c r="F22" s="310">
        <f>'MLP 25v kannattavuus'!D85</f>
        <v>0.16158980231660225</v>
      </c>
      <c r="G22" s="74">
        <f>('MLP 25v kannattavuus'!J110-'MLP 25v kannattavuus'!D76)</f>
        <v>4044</v>
      </c>
      <c r="H22" s="74">
        <f>'MLP 25v kannattavuus'!D93</f>
        <v>18084.096000000005</v>
      </c>
      <c r="I22" s="103">
        <f>'MLP 25v kannattavuus'!D74</f>
        <v>0.96</v>
      </c>
      <c r="J22" s="296">
        <f>'MLP 25v kannattavuus'!D75</f>
        <v>38250</v>
      </c>
      <c r="K22" s="280" t="s">
        <v>260</v>
      </c>
    </row>
    <row r="23" spans="1:11" s="104" customFormat="1" ht="15.5" x14ac:dyDescent="0.35">
      <c r="A23" s="302">
        <v>0.98</v>
      </c>
      <c r="B23" s="313">
        <v>51000</v>
      </c>
      <c r="C23" s="86" t="s">
        <v>45</v>
      </c>
      <c r="D23" s="79">
        <v>122838</v>
      </c>
      <c r="E23" s="81">
        <v>7</v>
      </c>
      <c r="F23" s="314">
        <v>0.14399999999999999</v>
      </c>
      <c r="G23" s="81">
        <v>4128</v>
      </c>
      <c r="H23" s="81">
        <v>16648</v>
      </c>
      <c r="I23" s="102">
        <v>0.98</v>
      </c>
      <c r="J23" s="306">
        <v>43350</v>
      </c>
      <c r="K23" s="86" t="s">
        <v>261</v>
      </c>
    </row>
    <row r="24" spans="1:11" ht="15.5" x14ac:dyDescent="0.35"/>
    <row r="25" spans="1:11" ht="62" x14ac:dyDescent="0.35">
      <c r="A25" s="300" t="s">
        <v>235</v>
      </c>
      <c r="B25" s="7" t="s">
        <v>247</v>
      </c>
      <c r="C25" s="5" t="s">
        <v>43</v>
      </c>
      <c r="D25" s="5" t="s">
        <v>135</v>
      </c>
      <c r="E25" s="307" t="s">
        <v>239</v>
      </c>
      <c r="F25" s="73" t="s">
        <v>136</v>
      </c>
      <c r="G25" s="73" t="s">
        <v>238</v>
      </c>
      <c r="H25" s="73" t="s">
        <v>122</v>
      </c>
      <c r="I25" s="73" t="s">
        <v>234</v>
      </c>
      <c r="J25" s="73" t="s">
        <v>248</v>
      </c>
      <c r="K25" s="72" t="s">
        <v>123</v>
      </c>
    </row>
    <row r="26" spans="1:11" ht="31" x14ac:dyDescent="0.35">
      <c r="A26" s="303" t="s">
        <v>264</v>
      </c>
      <c r="B26" s="295">
        <f>'PV 30v kannattavuus 10'!F27</f>
        <v>12000</v>
      </c>
      <c r="C26" s="281" t="s">
        <v>257</v>
      </c>
      <c r="D26" s="78">
        <f>'PV 30v kannattavuus 10'!E78</f>
        <v>12012.287040749126</v>
      </c>
      <c r="E26" s="80">
        <f>'PV 30v kannattavuus 10'!E79</f>
        <v>13</v>
      </c>
      <c r="F26" s="315">
        <f>'PV 30v kannattavuus 10'!E80</f>
        <v>6.9387035097793204E-2</v>
      </c>
      <c r="G26" s="74">
        <f>'PV 30v kannattavuus 10'!K114+'PV 30v kannattavuus 10'!L114</f>
        <v>770.73095714472015</v>
      </c>
      <c r="H26" s="74">
        <f>'PV 30v kannattavuus 10'!D91</f>
        <v>731.80799999999999</v>
      </c>
      <c r="I26" s="316">
        <f>'PV 30v kannattavuus 10'!F18</f>
        <v>9.9</v>
      </c>
      <c r="J26" s="296">
        <f>'PV 30v kannattavuus 10'!F31</f>
        <v>9600</v>
      </c>
      <c r="K26" s="280"/>
    </row>
    <row r="27" spans="1:11" ht="31" x14ac:dyDescent="0.35">
      <c r="A27" s="304" t="s">
        <v>265</v>
      </c>
      <c r="B27" s="296">
        <f>'PV 30v kannattavuus 20'!F27</f>
        <v>19000</v>
      </c>
      <c r="C27" s="282" t="s">
        <v>257</v>
      </c>
      <c r="D27" s="283">
        <f>'PV 30v kannattavuus 20'!E78</f>
        <v>25912.756250742092</v>
      </c>
      <c r="E27" s="74">
        <f>'PV 30v kannattavuus 20'!E79</f>
        <v>11</v>
      </c>
      <c r="F27" s="315">
        <f>'PV 30v kannattavuus 20'!E80</f>
        <v>8.6049165378068837E-2</v>
      </c>
      <c r="G27" s="74">
        <f>'PV 30v kannattavuus 20'!K114+'PV 30v kannattavuus 20'!L114</f>
        <v>1572.8602366560003</v>
      </c>
      <c r="H27" s="74">
        <f>'PV 30v kannattavuus 20'!D91</f>
        <v>1478.4</v>
      </c>
      <c r="I27" s="316">
        <f>'PV 30v kannattavuus 20'!F18</f>
        <v>20</v>
      </c>
      <c r="J27" s="296">
        <f>'PV 30v kannattavuus 20'!F31</f>
        <v>15200</v>
      </c>
      <c r="K27" s="280"/>
    </row>
    <row r="28" spans="1:11" ht="15.5" x14ac:dyDescent="0.35"/>
    <row r="29" spans="1:11" ht="15.5" x14ac:dyDescent="0.35">
      <c r="A29" s="2" t="s">
        <v>233</v>
      </c>
    </row>
    <row r="30" spans="1:11" ht="15.5" x14ac:dyDescent="0.35">
      <c r="B30" s="76" t="s">
        <v>277</v>
      </c>
    </row>
    <row r="31" spans="1:11" s="3" customFormat="1" ht="15.5" x14ac:dyDescent="0.35">
      <c r="B31" s="76" t="s">
        <v>278</v>
      </c>
    </row>
    <row r="32" spans="1:11" ht="15.5" x14ac:dyDescent="0.35">
      <c r="B32" s="76" t="s">
        <v>4</v>
      </c>
    </row>
    <row r="33" ht="15.5" x14ac:dyDescent="0.35"/>
    <row r="34" ht="15.5" x14ac:dyDescent="0.35"/>
    <row r="35" ht="15.5" x14ac:dyDescent="0.35"/>
    <row r="36" ht="15.5" x14ac:dyDescent="0.35"/>
    <row r="37" ht="15.5" x14ac:dyDescent="0.35"/>
    <row r="38" ht="15.5" x14ac:dyDescent="0.35"/>
    <row r="39" ht="15.5" x14ac:dyDescent="0.35"/>
    <row r="40" ht="15.5" x14ac:dyDescent="0.35"/>
    <row r="41" ht="15.5" x14ac:dyDescent="0.35"/>
    <row r="42" ht="15.5" x14ac:dyDescent="0.35"/>
    <row r="43" ht="15.5" x14ac:dyDescent="0.35"/>
    <row r="44" ht="15.5" x14ac:dyDescent="0.35"/>
    <row r="45" ht="15.5" x14ac:dyDescent="0.35"/>
    <row r="46" ht="15.5" x14ac:dyDescent="0.35"/>
    <row r="47" ht="15.5" x14ac:dyDescent="0.35"/>
    <row r="48" ht="15.5" x14ac:dyDescent="0.35"/>
    <row r="49" ht="15.5" x14ac:dyDescent="0.35"/>
    <row r="50" ht="15.5" x14ac:dyDescent="0.35"/>
    <row r="51" ht="15.5" x14ac:dyDescent="0.35"/>
    <row r="52" ht="15.5" x14ac:dyDescent="0.35"/>
    <row r="53" ht="15.5" x14ac:dyDescent="0.35"/>
    <row r="54" ht="15.5" x14ac:dyDescent="0.35"/>
    <row r="55" ht="15.5" x14ac:dyDescent="0.35"/>
    <row r="56" ht="15.5" x14ac:dyDescent="0.35"/>
    <row r="57" ht="15.5" x14ac:dyDescent="0.35"/>
    <row r="58" ht="15.5" x14ac:dyDescent="0.35"/>
    <row r="59" ht="15.5" x14ac:dyDescent="0.35"/>
    <row r="60" ht="15.5" x14ac:dyDescent="0.35"/>
    <row r="61" ht="15.5" x14ac:dyDescent="0.35"/>
    <row r="62" ht="15.5" x14ac:dyDescent="0.35"/>
    <row r="63" ht="15.5" x14ac:dyDescent="0.35"/>
    <row r="64" ht="15.5" x14ac:dyDescent="0.35"/>
    <row r="65" ht="15.5" x14ac:dyDescent="0.35"/>
    <row r="66" ht="15.5" x14ac:dyDescent="0.35"/>
    <row r="67" ht="15.5" x14ac:dyDescent="0.35"/>
    <row r="68" ht="15.5" x14ac:dyDescent="0.35"/>
    <row r="69" ht="15.5" x14ac:dyDescent="0.35"/>
    <row r="70" ht="15.5" x14ac:dyDescent="0.35"/>
    <row r="71" ht="15.5" x14ac:dyDescent="0.35"/>
    <row r="72" ht="15.5" x14ac:dyDescent="0.35"/>
    <row r="73" ht="15.5" x14ac:dyDescent="0.35"/>
    <row r="74" ht="15.5" x14ac:dyDescent="0.35"/>
    <row r="75" ht="15.5" x14ac:dyDescent="0.35"/>
    <row r="76" ht="15.5" x14ac:dyDescent="0.35"/>
    <row r="77" ht="15.5" x14ac:dyDescent="0.35"/>
    <row r="78" ht="15.5" x14ac:dyDescent="0.35"/>
    <row r="79" ht="15.5" x14ac:dyDescent="0.35"/>
    <row r="80" ht="15.5" x14ac:dyDescent="0.35"/>
    <row r="81" ht="15.5" x14ac:dyDescent="0.35"/>
    <row r="82" ht="15.5" x14ac:dyDescent="0.35"/>
    <row r="83" ht="15.5" x14ac:dyDescent="0.35"/>
    <row r="84" ht="15.5" x14ac:dyDescent="0.35"/>
    <row r="85" ht="15.5" x14ac:dyDescent="0.35"/>
    <row r="86" ht="15.5" x14ac:dyDescent="0.35"/>
    <row r="87" ht="15.5" x14ac:dyDescent="0.35"/>
    <row r="88" ht="15.5" x14ac:dyDescent="0.35"/>
    <row r="89" ht="15.5" x14ac:dyDescent="0.35"/>
    <row r="90" ht="15.5" x14ac:dyDescent="0.35"/>
    <row r="91" ht="15.5" x14ac:dyDescent="0.35"/>
    <row r="92" ht="15.5" x14ac:dyDescent="0.35"/>
    <row r="93" ht="15.5" x14ac:dyDescent="0.35"/>
    <row r="94" ht="15.5" x14ac:dyDescent="0.35"/>
    <row r="95" ht="15.5" x14ac:dyDescent="0.35"/>
    <row r="96" ht="15.5" x14ac:dyDescent="0.35"/>
    <row r="97" ht="15.5" x14ac:dyDescent="0.35"/>
    <row r="98" ht="15.5" x14ac:dyDescent="0.35"/>
    <row r="99" ht="15.5" x14ac:dyDescent="0.35"/>
    <row r="100" ht="15.5" x14ac:dyDescent="0.35"/>
    <row r="101" ht="15.5" x14ac:dyDescent="0.35"/>
    <row r="102" ht="15.5" x14ac:dyDescent="0.35"/>
    <row r="103" ht="15.5" x14ac:dyDescent="0.35"/>
    <row r="104" ht="15.5" x14ac:dyDescent="0.35"/>
    <row r="105" ht="15.5" x14ac:dyDescent="0.35"/>
    <row r="106" ht="15.5" x14ac:dyDescent="0.35"/>
    <row r="107" ht="15.5" x14ac:dyDescent="0.35"/>
    <row r="108" ht="15.5" x14ac:dyDescent="0.35"/>
    <row r="109" ht="15.5" x14ac:dyDescent="0.35"/>
    <row r="110" ht="15.5" x14ac:dyDescent="0.35"/>
    <row r="111" ht="15.5" x14ac:dyDescent="0.35"/>
    <row r="112" ht="15.5" x14ac:dyDescent="0.35"/>
    <row r="113" ht="15.5" x14ac:dyDescent="0.35"/>
    <row r="114" ht="15.5" x14ac:dyDescent="0.35"/>
    <row r="115" ht="15.5" x14ac:dyDescent="0.35"/>
    <row r="116" ht="15.5" x14ac:dyDescent="0.35"/>
    <row r="117" ht="15.5" x14ac:dyDescent="0.35"/>
    <row r="118" ht="15.5" x14ac:dyDescent="0.35"/>
    <row r="119" ht="15.5" x14ac:dyDescent="0.35"/>
    <row r="120" ht="15.5" x14ac:dyDescent="0.35"/>
    <row r="121" ht="15.5" x14ac:dyDescent="0.35"/>
    <row r="122" ht="15.5" x14ac:dyDescent="0.35"/>
    <row r="123" ht="15.5" x14ac:dyDescent="0.35"/>
    <row r="124" ht="15.5" x14ac:dyDescent="0.35"/>
    <row r="125" ht="15.5" x14ac:dyDescent="0.35"/>
    <row r="126" ht="15.5" x14ac:dyDescent="0.35"/>
    <row r="127" ht="15.5" x14ac:dyDescent="0.35"/>
    <row r="128" ht="15.5" x14ac:dyDescent="0.35"/>
    <row r="129" ht="15.5" x14ac:dyDescent="0.35"/>
    <row r="130" ht="15.5" x14ac:dyDescent="0.35"/>
    <row r="131" ht="15.5" x14ac:dyDescent="0.35"/>
    <row r="132" ht="15.5" x14ac:dyDescent="0.35"/>
    <row r="133" ht="15.5" x14ac:dyDescent="0.35"/>
    <row r="134" ht="15.5" x14ac:dyDescent="0.35"/>
    <row r="135" ht="15.5" x14ac:dyDescent="0.35"/>
    <row r="136" ht="15.5" x14ac:dyDescent="0.35"/>
    <row r="137" ht="15.5" x14ac:dyDescent="0.35"/>
    <row r="138" ht="15.5" x14ac:dyDescent="0.35"/>
    <row r="139" ht="15.5" x14ac:dyDescent="0.35"/>
    <row r="140" ht="15.5" x14ac:dyDescent="0.35"/>
    <row r="141" ht="15.5" x14ac:dyDescent="0.35"/>
    <row r="142" ht="15.5" x14ac:dyDescent="0.35"/>
    <row r="143" ht="15.5" x14ac:dyDescent="0.35"/>
    <row r="144" ht="15.5" x14ac:dyDescent="0.35"/>
    <row r="145" ht="15.5" x14ac:dyDescent="0.35"/>
    <row r="146" ht="15.5" x14ac:dyDescent="0.35"/>
    <row r="147" ht="15.5" x14ac:dyDescent="0.35"/>
    <row r="148" ht="15.5" x14ac:dyDescent="0.35"/>
    <row r="149" ht="15.5" x14ac:dyDescent="0.35"/>
    <row r="150" ht="15.5" x14ac:dyDescent="0.35"/>
    <row r="151" ht="15.5" x14ac:dyDescent="0.35"/>
    <row r="152" ht="15.5" x14ac:dyDescent="0.35"/>
    <row r="153" ht="15.5" x14ac:dyDescent="0.35"/>
    <row r="154" ht="15.5" x14ac:dyDescent="0.35"/>
    <row r="155" ht="15.5" x14ac:dyDescent="0.35"/>
    <row r="156" ht="15.5" x14ac:dyDescent="0.35"/>
    <row r="157" ht="15.5" x14ac:dyDescent="0.35"/>
    <row r="158" ht="15.5" x14ac:dyDescent="0.35"/>
    <row r="159" ht="15.5" x14ac:dyDescent="0.35"/>
    <row r="160" ht="15.5" x14ac:dyDescent="0.35"/>
    <row r="161" ht="15.5" x14ac:dyDescent="0.35"/>
    <row r="162" ht="15.5" x14ac:dyDescent="0.35"/>
    <row r="163" ht="15.5" x14ac:dyDescent="0.35"/>
    <row r="164" ht="15.5" x14ac:dyDescent="0.35"/>
    <row r="165" ht="15.5" x14ac:dyDescent="0.35"/>
    <row r="166" ht="15.5" x14ac:dyDescent="0.35"/>
    <row r="167" ht="15.5" x14ac:dyDescent="0.35"/>
    <row r="168" ht="15.5" x14ac:dyDescent="0.35"/>
    <row r="169" ht="15.5" x14ac:dyDescent="0.35"/>
    <row r="170" ht="15.5" x14ac:dyDescent="0.35"/>
    <row r="171" ht="15.5" x14ac:dyDescent="0.35"/>
    <row r="172" ht="15.5" x14ac:dyDescent="0.35"/>
    <row r="173" ht="15.5" x14ac:dyDescent="0.35"/>
    <row r="174" ht="15.5" x14ac:dyDescent="0.35"/>
    <row r="175" ht="15.5" x14ac:dyDescent="0.35"/>
    <row r="176" ht="15.5" x14ac:dyDescent="0.35"/>
    <row r="177" ht="15.5" x14ac:dyDescent="0.35"/>
    <row r="178" ht="15.5" x14ac:dyDescent="0.35"/>
    <row r="179" ht="15.5" x14ac:dyDescent="0.35"/>
    <row r="180" ht="15.5" x14ac:dyDescent="0.35"/>
    <row r="181" ht="15.5" x14ac:dyDescent="0.35"/>
    <row r="182" ht="15.5" x14ac:dyDescent="0.35"/>
    <row r="183" ht="15.5" x14ac:dyDescent="0.35"/>
    <row r="184" ht="15.5" x14ac:dyDescent="0.35"/>
    <row r="185" ht="15.5" x14ac:dyDescent="0.35"/>
    <row r="186" ht="15.5" x14ac:dyDescent="0.35"/>
    <row r="187" ht="15.5" x14ac:dyDescent="0.35"/>
    <row r="188" ht="15.5" x14ac:dyDescent="0.35"/>
    <row r="189" ht="15.5" x14ac:dyDescent="0.35"/>
    <row r="190" ht="15.5" x14ac:dyDescent="0.35"/>
    <row r="191" ht="15.5" x14ac:dyDescent="0.35"/>
    <row r="192" ht="15.5" x14ac:dyDescent="0.35"/>
    <row r="193" ht="15.5" x14ac:dyDescent="0.35"/>
    <row r="194" ht="15.5" x14ac:dyDescent="0.35"/>
    <row r="195" ht="15.5" x14ac:dyDescent="0.35"/>
    <row r="196" ht="15.5" x14ac:dyDescent="0.35"/>
    <row r="197" ht="15.5" x14ac:dyDescent="0.35"/>
    <row r="198" ht="15.5" x14ac:dyDescent="0.35"/>
    <row r="199" ht="15.5" x14ac:dyDescent="0.35"/>
    <row r="200" ht="15.5" x14ac:dyDescent="0.35"/>
    <row r="201" ht="15.5" x14ac:dyDescent="0.35"/>
    <row r="202" ht="15.5" x14ac:dyDescent="0.35"/>
    <row r="203" ht="15.5" x14ac:dyDescent="0.35"/>
    <row r="204" ht="15.5" x14ac:dyDescent="0.35"/>
    <row r="205" ht="15.5" x14ac:dyDescent="0.35"/>
    <row r="206" ht="15.5" x14ac:dyDescent="0.35"/>
    <row r="207" ht="15.5" x14ac:dyDescent="0.35"/>
    <row r="208" ht="15.5" x14ac:dyDescent="0.35"/>
    <row r="209" ht="15.5" x14ac:dyDescent="0.35"/>
    <row r="210" ht="15.5" x14ac:dyDescent="0.35"/>
    <row r="211" ht="15.5" x14ac:dyDescent="0.35"/>
    <row r="212" ht="15.5" x14ac:dyDescent="0.35"/>
    <row r="213" ht="15.5" x14ac:dyDescent="0.35"/>
    <row r="214" ht="15.5" x14ac:dyDescent="0.35"/>
    <row r="215" ht="15.5" x14ac:dyDescent="0.35"/>
    <row r="216" ht="15.5" x14ac:dyDescent="0.35"/>
    <row r="217" ht="15.5" x14ac:dyDescent="0.35"/>
    <row r="218" ht="15.5" x14ac:dyDescent="0.35"/>
    <row r="219" ht="15.5" x14ac:dyDescent="0.35"/>
    <row r="220" ht="15.5" x14ac:dyDescent="0.35"/>
    <row r="221" ht="15.5" x14ac:dyDescent="0.35"/>
    <row r="222" ht="15.5" x14ac:dyDescent="0.35"/>
    <row r="223" ht="15.5" x14ac:dyDescent="0.35"/>
    <row r="224" ht="15.5" x14ac:dyDescent="0.35"/>
    <row r="225" ht="15.5" x14ac:dyDescent="0.35"/>
    <row r="226" ht="15.5" x14ac:dyDescent="0.35"/>
    <row r="227" ht="15.5" x14ac:dyDescent="0.35"/>
    <row r="228" ht="15.5" x14ac:dyDescent="0.35"/>
    <row r="229" ht="15.5" x14ac:dyDescent="0.35"/>
    <row r="230" ht="15.5" x14ac:dyDescent="0.35"/>
    <row r="231" ht="15.5" x14ac:dyDescent="0.35"/>
    <row r="232" ht="15.5" x14ac:dyDescent="0.35"/>
    <row r="233" ht="15.5" x14ac:dyDescent="0.35"/>
    <row r="234" ht="15.5" x14ac:dyDescent="0.35"/>
    <row r="235" ht="15.5" x14ac:dyDescent="0.35"/>
    <row r="236" ht="15.5" x14ac:dyDescent="0.35"/>
    <row r="237" ht="15.5" x14ac:dyDescent="0.35"/>
    <row r="238" ht="15.5" x14ac:dyDescent="0.35"/>
    <row r="239" ht="15.5" x14ac:dyDescent="0.35"/>
    <row r="240" ht="15.5" x14ac:dyDescent="0.35"/>
    <row r="241" ht="15.5" x14ac:dyDescent="0.35"/>
    <row r="242" ht="15.5" x14ac:dyDescent="0.35"/>
    <row r="243" ht="15.5" x14ac:dyDescent="0.35"/>
    <row r="244" ht="15.5" x14ac:dyDescent="0.35"/>
    <row r="245" ht="15.5" x14ac:dyDescent="0.35"/>
    <row r="246" ht="15.5" x14ac:dyDescent="0.35"/>
    <row r="247" ht="15.5" x14ac:dyDescent="0.35"/>
    <row r="248" ht="15.5" x14ac:dyDescent="0.35"/>
    <row r="249" ht="15.5" x14ac:dyDescent="0.35"/>
    <row r="250" ht="15.5" x14ac:dyDescent="0.35"/>
    <row r="251" ht="15.5" x14ac:dyDescent="0.35"/>
    <row r="252" ht="15.5" x14ac:dyDescent="0.35"/>
    <row r="253" ht="15.5" x14ac:dyDescent="0.35"/>
    <row r="254" ht="15.5" x14ac:dyDescent="0.35"/>
    <row r="255" ht="15.5" x14ac:dyDescent="0.35"/>
    <row r="256" ht="15.5" x14ac:dyDescent="0.35"/>
    <row r="257" ht="15.5" x14ac:dyDescent="0.35"/>
    <row r="258" ht="15.5" x14ac:dyDescent="0.35"/>
    <row r="259" ht="15.5" x14ac:dyDescent="0.35"/>
    <row r="260" ht="15.5" x14ac:dyDescent="0.35"/>
    <row r="261" ht="15.5" x14ac:dyDescent="0.35"/>
    <row r="262" ht="15.5" x14ac:dyDescent="0.35"/>
    <row r="263" ht="15.5" x14ac:dyDescent="0.35"/>
    <row r="264" ht="15.5" x14ac:dyDescent="0.35"/>
    <row r="265" ht="15.5" x14ac:dyDescent="0.35"/>
    <row r="266" ht="15.5" x14ac:dyDescent="0.35"/>
    <row r="267" ht="15.5" x14ac:dyDescent="0.35"/>
    <row r="268" ht="15.5" x14ac:dyDescent="0.35"/>
    <row r="269" ht="15.5" x14ac:dyDescent="0.35"/>
    <row r="270" ht="15.5" x14ac:dyDescent="0.35"/>
    <row r="271" ht="15.5" x14ac:dyDescent="0.35"/>
    <row r="272" ht="15.5" x14ac:dyDescent="0.35"/>
    <row r="273" ht="15.5" x14ac:dyDescent="0.35"/>
    <row r="274" ht="15.5" x14ac:dyDescent="0.35"/>
    <row r="275" ht="15.5" x14ac:dyDescent="0.35"/>
    <row r="276" ht="15.5" x14ac:dyDescent="0.35"/>
    <row r="277" ht="15.5" x14ac:dyDescent="0.35"/>
    <row r="278" ht="15.5" x14ac:dyDescent="0.35"/>
    <row r="279" ht="15.5" x14ac:dyDescent="0.35"/>
    <row r="280" ht="15.5" x14ac:dyDescent="0.35"/>
    <row r="281" ht="15.5" x14ac:dyDescent="0.35"/>
    <row r="282" ht="15.5" x14ac:dyDescent="0.35"/>
    <row r="283" ht="15.5" x14ac:dyDescent="0.35"/>
    <row r="284" ht="15.5" x14ac:dyDescent="0.35"/>
    <row r="285" ht="15.5" x14ac:dyDescent="0.35"/>
    <row r="286" ht="15.5" x14ac:dyDescent="0.35"/>
    <row r="287" ht="15.5" x14ac:dyDescent="0.35"/>
    <row r="288" ht="15.5" x14ac:dyDescent="0.35"/>
    <row r="289" ht="15.5" x14ac:dyDescent="0.35"/>
    <row r="290" ht="15.5" x14ac:dyDescent="0.35"/>
    <row r="291" ht="15.5" x14ac:dyDescent="0.35"/>
    <row r="292" ht="15.5" x14ac:dyDescent="0.35"/>
    <row r="293" ht="15.5" x14ac:dyDescent="0.35"/>
    <row r="294" ht="15.5" x14ac:dyDescent="0.35"/>
    <row r="295" ht="15.5" x14ac:dyDescent="0.35"/>
    <row r="296" ht="15.5" x14ac:dyDescent="0.35"/>
    <row r="297" ht="15.5" x14ac:dyDescent="0.35"/>
    <row r="298" ht="15.5" x14ac:dyDescent="0.35"/>
    <row r="299" ht="15.5" x14ac:dyDescent="0.35"/>
    <row r="300" ht="15.5" x14ac:dyDescent="0.35"/>
    <row r="301" ht="15.5" x14ac:dyDescent="0.35"/>
    <row r="302" ht="15.5" x14ac:dyDescent="0.35"/>
    <row r="303" ht="15.5" x14ac:dyDescent="0.35"/>
    <row r="304" ht="15.5" x14ac:dyDescent="0.35"/>
    <row r="305" ht="15.5" x14ac:dyDescent="0.35"/>
    <row r="306" ht="15.5" x14ac:dyDescent="0.35"/>
    <row r="307" ht="15.5" x14ac:dyDescent="0.35"/>
    <row r="308" ht="15.5" x14ac:dyDescent="0.35"/>
    <row r="309" ht="15.5" x14ac:dyDescent="0.35"/>
    <row r="310" ht="15.5" x14ac:dyDescent="0.35"/>
    <row r="311" ht="15.5" x14ac:dyDescent="0.35"/>
    <row r="312" ht="15.5" x14ac:dyDescent="0.35"/>
    <row r="313" ht="15.5" x14ac:dyDescent="0.35"/>
    <row r="314" ht="15.5" x14ac:dyDescent="0.35"/>
    <row r="315" ht="15.5" x14ac:dyDescent="0.35"/>
    <row r="316" ht="15.5" x14ac:dyDescent="0.35"/>
    <row r="317" ht="15.5" x14ac:dyDescent="0.35"/>
    <row r="318" ht="15.5" x14ac:dyDescent="0.35"/>
    <row r="319" ht="15.5" x14ac:dyDescent="0.35"/>
    <row r="320" ht="15.5" x14ac:dyDescent="0.35"/>
    <row r="321" ht="15.5" x14ac:dyDescent="0.35"/>
    <row r="322" ht="15.5" x14ac:dyDescent="0.35"/>
    <row r="323" ht="15.5" x14ac:dyDescent="0.35"/>
    <row r="324" ht="15.5" x14ac:dyDescent="0.35"/>
    <row r="325" ht="15.5" x14ac:dyDescent="0.35"/>
    <row r="326" ht="15.5" x14ac:dyDescent="0.35"/>
    <row r="327" ht="15.5" x14ac:dyDescent="0.35"/>
    <row r="328" ht="15.5" x14ac:dyDescent="0.35"/>
    <row r="329" ht="15.5" x14ac:dyDescent="0.35"/>
    <row r="330" ht="15.5" x14ac:dyDescent="0.35"/>
    <row r="331" ht="15.5" x14ac:dyDescent="0.35"/>
    <row r="332" ht="15.5" x14ac:dyDescent="0.35"/>
    <row r="333" ht="15.5" x14ac:dyDescent="0.35"/>
    <row r="334" ht="15.5" x14ac:dyDescent="0.35"/>
    <row r="335" ht="15.5" x14ac:dyDescent="0.35"/>
    <row r="336" ht="15.5" x14ac:dyDescent="0.35"/>
    <row r="337" ht="15.5" x14ac:dyDescent="0.35"/>
    <row r="338" ht="15.5" x14ac:dyDescent="0.35"/>
    <row r="339" ht="15.5" x14ac:dyDescent="0.35"/>
    <row r="340" ht="15.5" x14ac:dyDescent="0.35"/>
    <row r="341" ht="15.5" x14ac:dyDescent="0.35"/>
    <row r="342" ht="15.5" x14ac:dyDescent="0.35"/>
    <row r="343" ht="15.5" x14ac:dyDescent="0.35"/>
    <row r="344" ht="15.5" x14ac:dyDescent="0.35"/>
    <row r="345" ht="15.5" x14ac:dyDescent="0.35"/>
    <row r="346" ht="15.5" x14ac:dyDescent="0.35"/>
    <row r="347" ht="15.5" x14ac:dyDescent="0.35"/>
    <row r="348" ht="15.5" x14ac:dyDescent="0.35"/>
    <row r="349" ht="15.5" x14ac:dyDescent="0.35"/>
    <row r="350" ht="15.5" x14ac:dyDescent="0.35"/>
    <row r="351" ht="15.5" x14ac:dyDescent="0.35"/>
    <row r="352" ht="15.5" x14ac:dyDescent="0.35"/>
    <row r="353" ht="15.5" x14ac:dyDescent="0.35"/>
    <row r="354" ht="15.5" x14ac:dyDescent="0.35"/>
    <row r="355" ht="15.5" x14ac:dyDescent="0.35"/>
    <row r="356" ht="15.5" x14ac:dyDescent="0.35"/>
    <row r="357" ht="15.5" x14ac:dyDescent="0.35"/>
    <row r="358" ht="15.5" x14ac:dyDescent="0.35"/>
    <row r="359" ht="15.5" x14ac:dyDescent="0.35"/>
    <row r="360" ht="15.5" x14ac:dyDescent="0.35"/>
    <row r="361" ht="15.5" x14ac:dyDescent="0.35"/>
    <row r="362" ht="15.5" x14ac:dyDescent="0.35"/>
    <row r="363" ht="15.5" x14ac:dyDescent="0.35"/>
    <row r="364" ht="15.5" x14ac:dyDescent="0.35"/>
    <row r="365" ht="15.5" x14ac:dyDescent="0.35"/>
    <row r="366" ht="15.5" x14ac:dyDescent="0.35"/>
    <row r="367" ht="15.5" x14ac:dyDescent="0.35"/>
    <row r="368" ht="15.5" x14ac:dyDescent="0.35"/>
    <row r="369" ht="15.5" x14ac:dyDescent="0.35"/>
    <row r="370" ht="15.5" x14ac:dyDescent="0.35"/>
    <row r="371" ht="15.5" x14ac:dyDescent="0.35"/>
    <row r="372" ht="15.5" x14ac:dyDescent="0.35"/>
    <row r="373" ht="15.5" x14ac:dyDescent="0.35"/>
    <row r="374" ht="15.5" x14ac:dyDescent="0.35"/>
    <row r="375" ht="15.5" x14ac:dyDescent="0.35"/>
    <row r="376" ht="15.5" x14ac:dyDescent="0.35"/>
    <row r="377" ht="15.5" x14ac:dyDescent="0.35"/>
    <row r="378" ht="15.5" x14ac:dyDescent="0.35"/>
    <row r="379" ht="15.5" x14ac:dyDescent="0.35"/>
    <row r="380" ht="15.5" x14ac:dyDescent="0.35"/>
    <row r="381" ht="15.5" x14ac:dyDescent="0.35"/>
    <row r="382" ht="15.5" x14ac:dyDescent="0.35"/>
    <row r="383" ht="15.5" x14ac:dyDescent="0.35"/>
    <row r="384" ht="15.5" x14ac:dyDescent="0.35"/>
    <row r="385" ht="15.5" x14ac:dyDescent="0.35"/>
    <row r="386" ht="15.5" x14ac:dyDescent="0.35"/>
    <row r="387" ht="15.5" x14ac:dyDescent="0.35"/>
    <row r="388" ht="15.5" x14ac:dyDescent="0.35"/>
    <row r="389" ht="15.5" x14ac:dyDescent="0.35"/>
    <row r="390" ht="15.5" x14ac:dyDescent="0.35"/>
    <row r="391" ht="15.5" x14ac:dyDescent="0.35"/>
    <row r="392" ht="15.5" x14ac:dyDescent="0.35"/>
    <row r="393" ht="15.5" x14ac:dyDescent="0.35"/>
    <row r="394" ht="15.5" x14ac:dyDescent="0.35"/>
    <row r="395" ht="15.5" x14ac:dyDescent="0.35"/>
    <row r="396" ht="15.5" x14ac:dyDescent="0.35"/>
    <row r="397" ht="15.5" x14ac:dyDescent="0.35"/>
    <row r="398" ht="15.5" x14ac:dyDescent="0.35"/>
    <row r="399" ht="15.5" x14ac:dyDescent="0.35"/>
    <row r="400" ht="15.5" x14ac:dyDescent="0.35"/>
    <row r="401" ht="15.5" x14ac:dyDescent="0.35"/>
    <row r="402" ht="15.5" x14ac:dyDescent="0.35"/>
    <row r="403" ht="15.5" x14ac:dyDescent="0.35"/>
    <row r="404" ht="15.5" x14ac:dyDescent="0.35"/>
    <row r="405" ht="15.5" x14ac:dyDescent="0.35"/>
    <row r="406" ht="15.5" x14ac:dyDescent="0.35"/>
    <row r="407" ht="15.5" x14ac:dyDescent="0.35"/>
    <row r="408" ht="15.5" x14ac:dyDescent="0.35"/>
    <row r="409" ht="15.5" x14ac:dyDescent="0.35"/>
    <row r="410" ht="15.5" x14ac:dyDescent="0.35"/>
    <row r="411" ht="15.5" x14ac:dyDescent="0.35"/>
    <row r="412" ht="15.5" x14ac:dyDescent="0.35"/>
    <row r="413" ht="15.5" x14ac:dyDescent="0.35"/>
    <row r="414" ht="15.5" x14ac:dyDescent="0.35"/>
    <row r="415" ht="15.5" x14ac:dyDescent="0.35"/>
    <row r="416" ht="15.5" x14ac:dyDescent="0.35"/>
    <row r="417" ht="15.5" x14ac:dyDescent="0.35"/>
    <row r="418" ht="15.5" x14ac:dyDescent="0.35"/>
    <row r="419" ht="15.5" x14ac:dyDescent="0.35"/>
    <row r="420" ht="15.5" x14ac:dyDescent="0.35"/>
    <row r="421" ht="15.5" x14ac:dyDescent="0.35"/>
    <row r="422" ht="15.5" x14ac:dyDescent="0.35"/>
    <row r="423" ht="15.5" x14ac:dyDescent="0.35"/>
    <row r="424" ht="15.5" x14ac:dyDescent="0.35"/>
    <row r="425" ht="15.5" x14ac:dyDescent="0.35"/>
    <row r="426" ht="15.5" x14ac:dyDescent="0.35"/>
    <row r="427" ht="15.5" x14ac:dyDescent="0.35"/>
    <row r="428" ht="15.5" x14ac:dyDescent="0.35"/>
    <row r="429" ht="15.5" x14ac:dyDescent="0.35"/>
    <row r="430" ht="15.5" x14ac:dyDescent="0.35"/>
    <row r="431" ht="15.5" x14ac:dyDescent="0.35"/>
    <row r="432" ht="15.5" x14ac:dyDescent="0.35"/>
    <row r="433" ht="15.5" x14ac:dyDescent="0.35"/>
    <row r="434" ht="15.5" x14ac:dyDescent="0.35"/>
    <row r="435" ht="15.5" x14ac:dyDescent="0.35"/>
    <row r="436" ht="15.5" x14ac:dyDescent="0.35"/>
    <row r="437" ht="15.5" x14ac:dyDescent="0.35"/>
    <row r="438" ht="15.5" x14ac:dyDescent="0.35"/>
    <row r="439" ht="15.5" x14ac:dyDescent="0.35"/>
    <row r="440" ht="15.5" x14ac:dyDescent="0.35"/>
    <row r="441" ht="15.5" x14ac:dyDescent="0.35"/>
    <row r="442" ht="15.5" x14ac:dyDescent="0.35"/>
    <row r="443" ht="15.5" x14ac:dyDescent="0.35"/>
    <row r="444" ht="15.5" x14ac:dyDescent="0.35"/>
    <row r="445" ht="15.5" x14ac:dyDescent="0.35"/>
    <row r="446" ht="15.5" x14ac:dyDescent="0.35"/>
    <row r="447" ht="15.5" x14ac:dyDescent="0.35"/>
    <row r="448" ht="15.5" x14ac:dyDescent="0.35"/>
    <row r="449" ht="15.5" x14ac:dyDescent="0.35"/>
    <row r="450" ht="15.5" x14ac:dyDescent="0.35"/>
    <row r="451" ht="15.5" x14ac:dyDescent="0.35"/>
    <row r="452" ht="15.5" x14ac:dyDescent="0.35"/>
    <row r="453" ht="15.5" x14ac:dyDescent="0.35"/>
    <row r="454" ht="15.5" x14ac:dyDescent="0.35"/>
    <row r="455" ht="15.5" x14ac:dyDescent="0.35"/>
    <row r="456" ht="15.5" x14ac:dyDescent="0.35"/>
    <row r="457" ht="15.5" x14ac:dyDescent="0.35"/>
    <row r="458" ht="15.5" x14ac:dyDescent="0.35"/>
    <row r="459" ht="15.5" x14ac:dyDescent="0.35"/>
    <row r="460" ht="15.5" x14ac:dyDescent="0.35"/>
    <row r="461" ht="15.5" x14ac:dyDescent="0.35"/>
    <row r="462" ht="15.5" x14ac:dyDescent="0.35"/>
    <row r="463" ht="15.5" x14ac:dyDescent="0.35"/>
    <row r="464" ht="15.5" x14ac:dyDescent="0.35"/>
    <row r="465" ht="15.5" x14ac:dyDescent="0.35"/>
    <row r="466" ht="15.5" x14ac:dyDescent="0.35"/>
    <row r="467" ht="15.5" x14ac:dyDescent="0.35"/>
    <row r="468" ht="15.5" x14ac:dyDescent="0.35"/>
    <row r="469" ht="15.5" x14ac:dyDescent="0.35"/>
    <row r="470" ht="15.5" x14ac:dyDescent="0.35"/>
    <row r="471" ht="15.5" x14ac:dyDescent="0.35"/>
    <row r="472" ht="15.5" x14ac:dyDescent="0.35"/>
    <row r="473" ht="15.5" x14ac:dyDescent="0.35"/>
    <row r="474" ht="15.5" x14ac:dyDescent="0.35"/>
    <row r="475" ht="15.5" x14ac:dyDescent="0.35"/>
    <row r="476" ht="15.5" x14ac:dyDescent="0.35"/>
    <row r="477" ht="15.5" x14ac:dyDescent="0.35"/>
    <row r="478" ht="15.5" x14ac:dyDescent="0.35"/>
    <row r="479" ht="15.5" x14ac:dyDescent="0.35"/>
    <row r="480" ht="15.5" x14ac:dyDescent="0.35"/>
    <row r="481" ht="15.5" x14ac:dyDescent="0.35"/>
    <row r="482" ht="15.5" x14ac:dyDescent="0.35"/>
    <row r="483" ht="15.5" x14ac:dyDescent="0.35"/>
    <row r="484" ht="15.5" x14ac:dyDescent="0.35"/>
    <row r="485" ht="15.5" x14ac:dyDescent="0.35"/>
    <row r="486" ht="15.5" x14ac:dyDescent="0.35"/>
    <row r="487" ht="15.5" x14ac:dyDescent="0.35"/>
    <row r="488" ht="15.5" x14ac:dyDescent="0.35"/>
    <row r="489" ht="15.5" x14ac:dyDescent="0.35"/>
    <row r="490" ht="15.5" x14ac:dyDescent="0.35"/>
    <row r="491" ht="15.5" x14ac:dyDescent="0.35"/>
    <row r="492" ht="15.5" x14ac:dyDescent="0.35"/>
    <row r="493" ht="15.5" x14ac:dyDescent="0.35"/>
    <row r="494" ht="15.5" x14ac:dyDescent="0.35"/>
    <row r="495" ht="15.5" x14ac:dyDescent="0.35"/>
    <row r="496" ht="15.5" x14ac:dyDescent="0.35"/>
    <row r="497" ht="15.5" x14ac:dyDescent="0.35"/>
    <row r="498" ht="15.5" x14ac:dyDescent="0.35"/>
    <row r="499" ht="15.5" x14ac:dyDescent="0.35"/>
    <row r="500" ht="15.5" x14ac:dyDescent="0.35"/>
    <row r="501" ht="15.5" x14ac:dyDescent="0.35"/>
    <row r="502" ht="15.5" x14ac:dyDescent="0.35"/>
    <row r="503" ht="15.5" x14ac:dyDescent="0.35"/>
    <row r="504" ht="15.5" x14ac:dyDescent="0.35"/>
    <row r="505" ht="15.5" x14ac:dyDescent="0.35"/>
    <row r="506" ht="15.5" x14ac:dyDescent="0.35"/>
    <row r="507" ht="15.5" x14ac:dyDescent="0.35"/>
    <row r="508" ht="15.5" x14ac:dyDescent="0.35"/>
    <row r="509" ht="15.5" x14ac:dyDescent="0.35"/>
    <row r="510" ht="15.5" x14ac:dyDescent="0.35"/>
    <row r="511" ht="15.5" x14ac:dyDescent="0.35"/>
    <row r="512" ht="15.5" x14ac:dyDescent="0.35"/>
    <row r="513" ht="15.5" x14ac:dyDescent="0.35"/>
    <row r="514" ht="15.5" x14ac:dyDescent="0.35"/>
    <row r="515" ht="15.5" x14ac:dyDescent="0.35"/>
    <row r="516" ht="15.5" x14ac:dyDescent="0.35"/>
    <row r="517" ht="15.5" x14ac:dyDescent="0.35"/>
    <row r="518" ht="15.5" x14ac:dyDescent="0.35"/>
    <row r="519" ht="15.5" x14ac:dyDescent="0.35"/>
    <row r="520" ht="15.5" x14ac:dyDescent="0.35"/>
    <row r="521" ht="15.5" x14ac:dyDescent="0.35"/>
    <row r="522" ht="15.5" x14ac:dyDescent="0.35"/>
    <row r="523" ht="15.5" x14ac:dyDescent="0.35"/>
    <row r="524" ht="15.5" x14ac:dyDescent="0.35"/>
    <row r="525" ht="15.5" x14ac:dyDescent="0.35"/>
    <row r="526" ht="15.5" x14ac:dyDescent="0.35"/>
    <row r="527" ht="15.5" x14ac:dyDescent="0.35"/>
    <row r="528" ht="15.5" x14ac:dyDescent="0.35"/>
    <row r="529" ht="15.5" x14ac:dyDescent="0.35"/>
    <row r="530" ht="15.5" x14ac:dyDescent="0.35"/>
    <row r="531" ht="15.5" x14ac:dyDescent="0.35"/>
    <row r="532" ht="15.5" x14ac:dyDescent="0.35"/>
    <row r="533" ht="15.5" x14ac:dyDescent="0.35"/>
    <row r="534" ht="15.5" x14ac:dyDescent="0.35"/>
    <row r="535" ht="15.5" x14ac:dyDescent="0.35"/>
    <row r="536" ht="15.5" x14ac:dyDescent="0.35"/>
    <row r="537" ht="15.5" x14ac:dyDescent="0.35"/>
    <row r="538" ht="15.5" x14ac:dyDescent="0.35"/>
    <row r="539" ht="15.5" x14ac:dyDescent="0.35"/>
    <row r="540" ht="15.5" x14ac:dyDescent="0.35"/>
    <row r="541" ht="15.5" x14ac:dyDescent="0.35"/>
    <row r="542" ht="15.5" x14ac:dyDescent="0.35"/>
    <row r="543" ht="15.5" x14ac:dyDescent="0.35"/>
    <row r="544" ht="15.5" x14ac:dyDescent="0.35"/>
    <row r="545" ht="15.5" x14ac:dyDescent="0.35"/>
    <row r="546" ht="15.5" x14ac:dyDescent="0.35"/>
    <row r="547" ht="15.5" x14ac:dyDescent="0.35"/>
    <row r="548" ht="15.5" x14ac:dyDescent="0.35"/>
    <row r="549" ht="15.5" x14ac:dyDescent="0.35"/>
    <row r="550" ht="15.5" x14ac:dyDescent="0.35"/>
    <row r="551" ht="15.5" x14ac:dyDescent="0.35"/>
    <row r="552" ht="15.5" x14ac:dyDescent="0.35"/>
    <row r="553" ht="15.5" x14ac:dyDescent="0.35"/>
    <row r="554" ht="15.5" x14ac:dyDescent="0.35"/>
    <row r="555" ht="15.5" x14ac:dyDescent="0.35"/>
    <row r="556" ht="15.5" x14ac:dyDescent="0.35"/>
    <row r="557" ht="15.5" x14ac:dyDescent="0.35"/>
    <row r="558" ht="15.5" x14ac:dyDescent="0.35"/>
    <row r="559" ht="15.5" x14ac:dyDescent="0.35"/>
    <row r="560" ht="15.5" x14ac:dyDescent="0.35"/>
    <row r="561" ht="15.5" x14ac:dyDescent="0.35"/>
    <row r="562" ht="15.5" x14ac:dyDescent="0.35"/>
    <row r="563" ht="15.5" x14ac:dyDescent="0.35"/>
    <row r="564" ht="15.5" x14ac:dyDescent="0.35"/>
    <row r="565" ht="15.5" x14ac:dyDescent="0.35"/>
    <row r="566" ht="15.5" x14ac:dyDescent="0.35"/>
    <row r="567" ht="15.5" x14ac:dyDescent="0.35"/>
    <row r="568" ht="15.5" x14ac:dyDescent="0.35"/>
    <row r="569" ht="15.5" x14ac:dyDescent="0.35"/>
    <row r="570" ht="15.5" x14ac:dyDescent="0.35"/>
    <row r="571" ht="15.5" x14ac:dyDescent="0.35"/>
    <row r="572" ht="15.5" x14ac:dyDescent="0.35"/>
    <row r="573" ht="15.5" x14ac:dyDescent="0.35"/>
    <row r="574" ht="15.5" x14ac:dyDescent="0.35"/>
    <row r="575" ht="15.5" x14ac:dyDescent="0.35"/>
    <row r="576" ht="15.5" x14ac:dyDescent="0.35"/>
    <row r="577" ht="15.5" x14ac:dyDescent="0.35"/>
    <row r="578" ht="15.5" x14ac:dyDescent="0.35"/>
    <row r="579" ht="15.5" x14ac:dyDescent="0.35"/>
    <row r="580" ht="15.5" x14ac:dyDescent="0.35"/>
    <row r="581" ht="15.5" x14ac:dyDescent="0.35"/>
    <row r="582" ht="15.5" x14ac:dyDescent="0.35"/>
    <row r="583" ht="15.5" x14ac:dyDescent="0.35"/>
    <row r="584" ht="15.5" x14ac:dyDescent="0.35"/>
    <row r="585" ht="15.5" x14ac:dyDescent="0.35"/>
    <row r="586" ht="15.5" x14ac:dyDescent="0.35"/>
    <row r="587" ht="15.5" x14ac:dyDescent="0.35"/>
    <row r="588" ht="15.5" x14ac:dyDescent="0.35"/>
    <row r="589" ht="15.5" x14ac:dyDescent="0.35"/>
    <row r="590" ht="15.5" x14ac:dyDescent="0.35"/>
    <row r="591" ht="15.5" x14ac:dyDescent="0.35"/>
    <row r="592" ht="15.5" x14ac:dyDescent="0.35"/>
    <row r="593" ht="15.5" x14ac:dyDescent="0.35"/>
    <row r="594" ht="15.5" x14ac:dyDescent="0.35"/>
    <row r="595" ht="15.5" x14ac:dyDescent="0.35"/>
    <row r="596" ht="15.5" x14ac:dyDescent="0.35"/>
    <row r="597" ht="15.5" x14ac:dyDescent="0.35"/>
    <row r="598" ht="15.5" x14ac:dyDescent="0.35"/>
    <row r="599" ht="15.5" x14ac:dyDescent="0.35"/>
    <row r="600" ht="15.5" x14ac:dyDescent="0.35"/>
    <row r="601" ht="15.5" x14ac:dyDescent="0.35"/>
    <row r="602" ht="15.5" x14ac:dyDescent="0.35"/>
    <row r="603" ht="15.5" x14ac:dyDescent="0.35"/>
    <row r="604" ht="15.5" x14ac:dyDescent="0.35"/>
    <row r="605" ht="15.5" x14ac:dyDescent="0.35"/>
    <row r="606" ht="15.5" x14ac:dyDescent="0.35"/>
    <row r="607" ht="15.5" x14ac:dyDescent="0.35"/>
    <row r="608" ht="15.5" x14ac:dyDescent="0.35"/>
    <row r="609" ht="15.5" x14ac:dyDescent="0.35"/>
    <row r="610" ht="15.5" x14ac:dyDescent="0.35"/>
    <row r="611" ht="15.5" x14ac:dyDescent="0.35"/>
    <row r="612" ht="15.5" x14ac:dyDescent="0.35"/>
    <row r="613" ht="15.5" x14ac:dyDescent="0.35"/>
    <row r="614" ht="15.5" x14ac:dyDescent="0.35"/>
    <row r="615" ht="15.5" x14ac:dyDescent="0.35"/>
    <row r="616" ht="15.5" x14ac:dyDescent="0.35"/>
    <row r="617" ht="15.5" x14ac:dyDescent="0.35"/>
    <row r="618" ht="15.5" x14ac:dyDescent="0.35"/>
    <row r="619" ht="15.5" x14ac:dyDescent="0.35"/>
    <row r="620" ht="15.5" x14ac:dyDescent="0.35"/>
    <row r="621" ht="15.5" x14ac:dyDescent="0.35"/>
    <row r="622" ht="15.5" x14ac:dyDescent="0.35"/>
    <row r="623" ht="15.5" x14ac:dyDescent="0.35"/>
    <row r="624" ht="15.5" x14ac:dyDescent="0.35"/>
    <row r="625" ht="15.5" x14ac:dyDescent="0.35"/>
    <row r="626" ht="15.5" x14ac:dyDescent="0.35"/>
    <row r="627" ht="15.5" x14ac:dyDescent="0.35"/>
    <row r="628" ht="15.5" x14ac:dyDescent="0.35"/>
    <row r="629" ht="15.5" x14ac:dyDescent="0.35"/>
    <row r="630" ht="15.5" x14ac:dyDescent="0.35"/>
    <row r="631" ht="15.5" x14ac:dyDescent="0.35"/>
    <row r="632" ht="15.5" x14ac:dyDescent="0.35"/>
    <row r="633" ht="15.5" x14ac:dyDescent="0.35"/>
    <row r="634" ht="15.5" x14ac:dyDescent="0.35"/>
    <row r="635" ht="15.5" x14ac:dyDescent="0.35"/>
    <row r="636" ht="15.5" x14ac:dyDescent="0.35"/>
    <row r="637" ht="15.5" x14ac:dyDescent="0.35"/>
    <row r="638" ht="15.5" x14ac:dyDescent="0.35"/>
    <row r="639" ht="15.5" x14ac:dyDescent="0.35"/>
    <row r="640" ht="15.5" x14ac:dyDescent="0.35"/>
    <row r="641" ht="15.5" x14ac:dyDescent="0.35"/>
    <row r="642" ht="15.5" x14ac:dyDescent="0.35"/>
    <row r="643" ht="15.5" x14ac:dyDescent="0.35"/>
    <row r="644" ht="15.5" x14ac:dyDescent="0.35"/>
    <row r="645" ht="15.5" x14ac:dyDescent="0.35"/>
    <row r="646" ht="15.5" x14ac:dyDescent="0.35"/>
    <row r="647" ht="15.5" x14ac:dyDescent="0.35"/>
    <row r="648" ht="15.5" x14ac:dyDescent="0.35"/>
    <row r="649" ht="15.5" x14ac:dyDescent="0.35"/>
    <row r="650" ht="15.5" x14ac:dyDescent="0.35"/>
    <row r="651" ht="15.5" x14ac:dyDescent="0.35"/>
    <row r="652" ht="15.5" x14ac:dyDescent="0.35"/>
    <row r="653" ht="15.5" x14ac:dyDescent="0.35"/>
    <row r="654" ht="15.5" x14ac:dyDescent="0.35"/>
    <row r="655" ht="15.5" x14ac:dyDescent="0.35"/>
    <row r="656" ht="15.5" x14ac:dyDescent="0.35"/>
    <row r="657" ht="15.5" x14ac:dyDescent="0.35"/>
    <row r="658" ht="15.5" x14ac:dyDescent="0.35"/>
    <row r="659" ht="15.5" x14ac:dyDescent="0.35"/>
    <row r="660" ht="15.5" x14ac:dyDescent="0.35"/>
    <row r="661" ht="15.5" x14ac:dyDescent="0.35"/>
    <row r="662" ht="15.5" x14ac:dyDescent="0.35"/>
    <row r="663" ht="15.5" x14ac:dyDescent="0.35"/>
    <row r="664" ht="15.5" x14ac:dyDescent="0.35"/>
    <row r="665" ht="15.5" x14ac:dyDescent="0.35"/>
    <row r="666" ht="15.5" x14ac:dyDescent="0.35"/>
    <row r="667" ht="15.5" x14ac:dyDescent="0.35"/>
    <row r="668" ht="15.5" x14ac:dyDescent="0.35"/>
    <row r="669" ht="15.5" x14ac:dyDescent="0.35"/>
    <row r="670" ht="15.5" x14ac:dyDescent="0.35"/>
    <row r="671" ht="15.5" x14ac:dyDescent="0.35"/>
    <row r="672" ht="15.5" x14ac:dyDescent="0.35"/>
    <row r="673" ht="15.5" x14ac:dyDescent="0.35"/>
    <row r="674" ht="15.5" x14ac:dyDescent="0.35"/>
    <row r="675" ht="15.5" x14ac:dyDescent="0.35"/>
    <row r="676" ht="15.5" x14ac:dyDescent="0.35"/>
    <row r="677" ht="15.5" x14ac:dyDescent="0.35"/>
    <row r="678" ht="15.5" x14ac:dyDescent="0.35"/>
    <row r="679" ht="15.5" x14ac:dyDescent="0.35"/>
    <row r="680" ht="15.5" x14ac:dyDescent="0.35"/>
    <row r="681" ht="15.5" x14ac:dyDescent="0.35"/>
    <row r="682" ht="15.5" x14ac:dyDescent="0.35"/>
    <row r="683" ht="15.5" x14ac:dyDescent="0.35"/>
    <row r="684" ht="15.5" x14ac:dyDescent="0.35"/>
    <row r="685" ht="15.5" x14ac:dyDescent="0.35"/>
    <row r="686" ht="15.5" x14ac:dyDescent="0.35"/>
    <row r="687" ht="15.5" x14ac:dyDescent="0.35"/>
    <row r="688" ht="15.5" x14ac:dyDescent="0.35"/>
    <row r="689" ht="15.5" x14ac:dyDescent="0.35"/>
    <row r="690" ht="15.5" x14ac:dyDescent="0.35"/>
    <row r="691" ht="15.5" x14ac:dyDescent="0.35"/>
    <row r="692" ht="15.5" x14ac:dyDescent="0.35"/>
    <row r="693" ht="15.5" x14ac:dyDescent="0.35"/>
    <row r="694" ht="15.5" x14ac:dyDescent="0.35"/>
    <row r="695" ht="15.5" x14ac:dyDescent="0.35"/>
    <row r="696" ht="15.5" x14ac:dyDescent="0.35"/>
    <row r="697" ht="15.5" x14ac:dyDescent="0.35"/>
    <row r="698" ht="15.5" x14ac:dyDescent="0.35"/>
    <row r="699" ht="15.5" x14ac:dyDescent="0.35"/>
    <row r="700" ht="15.5" x14ac:dyDescent="0.35"/>
    <row r="701" ht="15.5" x14ac:dyDescent="0.35"/>
    <row r="702" ht="15.5" x14ac:dyDescent="0.35"/>
    <row r="703" ht="15.5" x14ac:dyDescent="0.35"/>
    <row r="704" ht="15.5" x14ac:dyDescent="0.35"/>
    <row r="705" ht="15.5" x14ac:dyDescent="0.35"/>
    <row r="706" ht="15.5" x14ac:dyDescent="0.35"/>
    <row r="707" ht="15.5" x14ac:dyDescent="0.35"/>
    <row r="708" ht="15.5" x14ac:dyDescent="0.35"/>
    <row r="709" ht="15.5" x14ac:dyDescent="0.35"/>
    <row r="710" ht="15.5" x14ac:dyDescent="0.35"/>
    <row r="711" ht="15.5" x14ac:dyDescent="0.35"/>
    <row r="712" ht="15.5" x14ac:dyDescent="0.35"/>
    <row r="713" ht="15.5" x14ac:dyDescent="0.35"/>
    <row r="714" ht="15.5" x14ac:dyDescent="0.35"/>
    <row r="715" ht="15.5" x14ac:dyDescent="0.35"/>
    <row r="716" ht="15.5" x14ac:dyDescent="0.35"/>
    <row r="717" ht="15.5" x14ac:dyDescent="0.35"/>
    <row r="718" ht="15.5" x14ac:dyDescent="0.35"/>
    <row r="719" ht="15.5" x14ac:dyDescent="0.35"/>
    <row r="720" ht="15.5" x14ac:dyDescent="0.35"/>
    <row r="721" ht="15.5" x14ac:dyDescent="0.35"/>
    <row r="722" ht="15.5" x14ac:dyDescent="0.35"/>
    <row r="723" ht="15.5" x14ac:dyDescent="0.35"/>
    <row r="724" ht="15.5" x14ac:dyDescent="0.35"/>
    <row r="725" ht="15.5" x14ac:dyDescent="0.35"/>
    <row r="726" ht="15.5" x14ac:dyDescent="0.35"/>
    <row r="727" ht="15.5" x14ac:dyDescent="0.35"/>
    <row r="728" ht="15.5" x14ac:dyDescent="0.35"/>
    <row r="729" ht="15.5" x14ac:dyDescent="0.35"/>
    <row r="730" ht="15.5" x14ac:dyDescent="0.35"/>
    <row r="731" ht="15.5" x14ac:dyDescent="0.35"/>
    <row r="732" ht="15.5" x14ac:dyDescent="0.35"/>
    <row r="733" ht="15.5" x14ac:dyDescent="0.35"/>
    <row r="734" ht="15.5" x14ac:dyDescent="0.35"/>
    <row r="735" ht="15.5" x14ac:dyDescent="0.35"/>
    <row r="736"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row r="771" ht="15.5" x14ac:dyDescent="0.35"/>
    <row r="772" ht="15.5" x14ac:dyDescent="0.35"/>
    <row r="773" ht="15.5" x14ac:dyDescent="0.35"/>
    <row r="774" ht="15.5" x14ac:dyDescent="0.35"/>
    <row r="775" ht="15.5" x14ac:dyDescent="0.35"/>
    <row r="776" ht="15.5" x14ac:dyDescent="0.35"/>
    <row r="777" ht="15.5" x14ac:dyDescent="0.35"/>
    <row r="778" ht="15.5" x14ac:dyDescent="0.35"/>
    <row r="779" ht="15.5" x14ac:dyDescent="0.35"/>
    <row r="780" ht="15.5" x14ac:dyDescent="0.35"/>
    <row r="781" ht="15.5" x14ac:dyDescent="0.35"/>
    <row r="782" ht="15.5" x14ac:dyDescent="0.35"/>
    <row r="783" ht="15.5" x14ac:dyDescent="0.35"/>
    <row r="784" ht="15.5" x14ac:dyDescent="0.35"/>
    <row r="785" ht="15.5" x14ac:dyDescent="0.35"/>
    <row r="786" ht="15.5" x14ac:dyDescent="0.35"/>
    <row r="787" ht="15.5" x14ac:dyDescent="0.35"/>
    <row r="788" ht="15.5" x14ac:dyDescent="0.35"/>
    <row r="789" ht="15.5" x14ac:dyDescent="0.35"/>
    <row r="790" ht="15.5" x14ac:dyDescent="0.35"/>
    <row r="791" ht="15.5" x14ac:dyDescent="0.35"/>
    <row r="792" ht="15.5" x14ac:dyDescent="0.35"/>
    <row r="793" ht="15.5" x14ac:dyDescent="0.35"/>
    <row r="794" ht="15.5" x14ac:dyDescent="0.35"/>
    <row r="795" ht="15.5" x14ac:dyDescent="0.35"/>
    <row r="796" ht="15.5" x14ac:dyDescent="0.35"/>
    <row r="797" ht="15.5" x14ac:dyDescent="0.35"/>
    <row r="798" ht="15.5" x14ac:dyDescent="0.35"/>
    <row r="799" ht="15.5" x14ac:dyDescent="0.35"/>
    <row r="800" ht="15.5" x14ac:dyDescent="0.35"/>
    <row r="801" ht="15.5" x14ac:dyDescent="0.35"/>
    <row r="802" ht="15.5" x14ac:dyDescent="0.35"/>
    <row r="803" ht="15.5" x14ac:dyDescent="0.35"/>
    <row r="804" ht="15.5" x14ac:dyDescent="0.35"/>
    <row r="805" ht="15.5" x14ac:dyDescent="0.35"/>
    <row r="806" ht="15.5" x14ac:dyDescent="0.35"/>
    <row r="807" ht="15.5" x14ac:dyDescent="0.35"/>
    <row r="808" ht="15.5" x14ac:dyDescent="0.35"/>
    <row r="809" ht="15.5" x14ac:dyDescent="0.35"/>
    <row r="810" ht="15.5" x14ac:dyDescent="0.35"/>
    <row r="811" ht="15.5" x14ac:dyDescent="0.35"/>
    <row r="812" ht="15.5" x14ac:dyDescent="0.35"/>
    <row r="813" ht="15.5" x14ac:dyDescent="0.35"/>
    <row r="814" ht="15.5" x14ac:dyDescent="0.35"/>
    <row r="815" ht="15.5" x14ac:dyDescent="0.35"/>
    <row r="816" ht="15.5" x14ac:dyDescent="0.35"/>
    <row r="817" ht="15.5" x14ac:dyDescent="0.35"/>
    <row r="818" ht="15.5" x14ac:dyDescent="0.35"/>
    <row r="819" ht="15.5" x14ac:dyDescent="0.35"/>
    <row r="820" ht="15.5" x14ac:dyDescent="0.35"/>
    <row r="821" ht="15.5" x14ac:dyDescent="0.35"/>
    <row r="822" ht="15.5" x14ac:dyDescent="0.35"/>
    <row r="823" ht="15.5" x14ac:dyDescent="0.35"/>
    <row r="824" ht="15.5" x14ac:dyDescent="0.35"/>
    <row r="825" ht="15.5" x14ac:dyDescent="0.35"/>
    <row r="826" ht="15.5" x14ac:dyDescent="0.35"/>
    <row r="827" ht="15.5" x14ac:dyDescent="0.35"/>
    <row r="828" ht="15.5" x14ac:dyDescent="0.35"/>
    <row r="829" ht="15.5" x14ac:dyDescent="0.35"/>
    <row r="830" ht="15.5" x14ac:dyDescent="0.35"/>
    <row r="831" ht="15.5" x14ac:dyDescent="0.35"/>
    <row r="832" ht="15.5" x14ac:dyDescent="0.35"/>
    <row r="833" ht="15.5" x14ac:dyDescent="0.35"/>
    <row r="834" ht="15.5" x14ac:dyDescent="0.35"/>
    <row r="835" ht="15.5" x14ac:dyDescent="0.35"/>
    <row r="836" ht="15.5" x14ac:dyDescent="0.35"/>
    <row r="837" ht="15.5" x14ac:dyDescent="0.35"/>
    <row r="838" ht="15.5" x14ac:dyDescent="0.35"/>
    <row r="839" ht="15.5" x14ac:dyDescent="0.35"/>
    <row r="840" ht="15.5" x14ac:dyDescent="0.35"/>
    <row r="841" ht="15.5" x14ac:dyDescent="0.35"/>
    <row r="842" ht="15.5" x14ac:dyDescent="0.35"/>
    <row r="843" ht="15.5" x14ac:dyDescent="0.35"/>
    <row r="844" ht="15.5" x14ac:dyDescent="0.35"/>
    <row r="845" ht="15.5" x14ac:dyDescent="0.35"/>
    <row r="846" ht="15.5" x14ac:dyDescent="0.35"/>
    <row r="847" ht="15.5" x14ac:dyDescent="0.35"/>
    <row r="848" ht="15.5" x14ac:dyDescent="0.35"/>
    <row r="849" ht="15.5" x14ac:dyDescent="0.35"/>
    <row r="850" ht="15.5" x14ac:dyDescent="0.35"/>
    <row r="851" ht="15.5" x14ac:dyDescent="0.35"/>
    <row r="852" ht="15.5" x14ac:dyDescent="0.35"/>
    <row r="853" ht="15.5" x14ac:dyDescent="0.35"/>
    <row r="854" ht="15.5" x14ac:dyDescent="0.35"/>
    <row r="855" ht="15.5" x14ac:dyDescent="0.35"/>
    <row r="856" ht="15.5" x14ac:dyDescent="0.35"/>
    <row r="857" ht="15.5" x14ac:dyDescent="0.35"/>
    <row r="858" ht="15.5" x14ac:dyDescent="0.35"/>
    <row r="859" ht="15.5" x14ac:dyDescent="0.35"/>
    <row r="860" ht="15.5" x14ac:dyDescent="0.35"/>
    <row r="861" ht="15.5" x14ac:dyDescent="0.35"/>
    <row r="862" ht="15.5" x14ac:dyDescent="0.35"/>
    <row r="863" ht="15.5" x14ac:dyDescent="0.35"/>
    <row r="864" ht="15.5" x14ac:dyDescent="0.35"/>
    <row r="865" ht="15.5" x14ac:dyDescent="0.35"/>
    <row r="866" ht="15.5" x14ac:dyDescent="0.35"/>
    <row r="867" ht="15.5" x14ac:dyDescent="0.35"/>
    <row r="868" ht="15.5" x14ac:dyDescent="0.35"/>
    <row r="869" ht="15.5" x14ac:dyDescent="0.35"/>
    <row r="870" ht="15.5" x14ac:dyDescent="0.35"/>
    <row r="871" ht="15.5" x14ac:dyDescent="0.35"/>
    <row r="872" ht="15.5" x14ac:dyDescent="0.35"/>
    <row r="873" ht="15.5" x14ac:dyDescent="0.35"/>
    <row r="874" ht="15.5" x14ac:dyDescent="0.35"/>
    <row r="875" ht="15.5" x14ac:dyDescent="0.35"/>
    <row r="876" ht="15.5" x14ac:dyDescent="0.35"/>
    <row r="877" ht="15.5" x14ac:dyDescent="0.35"/>
    <row r="878" ht="15.5" x14ac:dyDescent="0.35"/>
    <row r="879" ht="15.5" x14ac:dyDescent="0.35"/>
    <row r="880" ht="15.5" x14ac:dyDescent="0.35"/>
    <row r="881" ht="15.5" x14ac:dyDescent="0.35"/>
    <row r="882" ht="15.5" x14ac:dyDescent="0.35"/>
    <row r="883" ht="15.5" x14ac:dyDescent="0.35"/>
    <row r="884" ht="15.5" x14ac:dyDescent="0.35"/>
    <row r="885" ht="15.5" x14ac:dyDescent="0.35"/>
    <row r="886" ht="15.5" x14ac:dyDescent="0.35"/>
    <row r="887" ht="15.5" x14ac:dyDescent="0.35"/>
    <row r="888" ht="15.5" x14ac:dyDescent="0.35"/>
    <row r="889" ht="15.5" x14ac:dyDescent="0.35"/>
    <row r="890" ht="15.5" x14ac:dyDescent="0.35"/>
    <row r="891" ht="15.5" x14ac:dyDescent="0.35"/>
    <row r="892" ht="15.5" x14ac:dyDescent="0.35"/>
    <row r="893" ht="15.5" x14ac:dyDescent="0.35"/>
    <row r="894" ht="15.5" x14ac:dyDescent="0.35"/>
    <row r="895" ht="15.5" x14ac:dyDescent="0.35"/>
    <row r="896" ht="15.5" x14ac:dyDescent="0.35"/>
    <row r="897" ht="15.5" x14ac:dyDescent="0.35"/>
    <row r="898" ht="15.5" x14ac:dyDescent="0.35"/>
    <row r="899" ht="15.5" x14ac:dyDescent="0.35"/>
    <row r="900" ht="15.5" x14ac:dyDescent="0.35"/>
    <row r="901" ht="15.5" x14ac:dyDescent="0.35"/>
    <row r="902" ht="15.5" x14ac:dyDescent="0.35"/>
    <row r="903" ht="15.5" x14ac:dyDescent="0.35"/>
    <row r="904" ht="15.5" x14ac:dyDescent="0.35"/>
    <row r="905" ht="15.5" x14ac:dyDescent="0.35"/>
    <row r="906" ht="15.5" x14ac:dyDescent="0.35"/>
    <row r="907" ht="15.5" x14ac:dyDescent="0.35"/>
    <row r="908" ht="15.5" x14ac:dyDescent="0.35"/>
    <row r="909" ht="15.5" x14ac:dyDescent="0.35"/>
    <row r="910" ht="15.5" x14ac:dyDescent="0.35"/>
    <row r="911" ht="15.5" x14ac:dyDescent="0.35"/>
    <row r="912" ht="15.5" x14ac:dyDescent="0.35"/>
    <row r="913" ht="15.5" x14ac:dyDescent="0.35"/>
    <row r="914" ht="15.5" x14ac:dyDescent="0.35"/>
    <row r="915" ht="15.5" x14ac:dyDescent="0.35"/>
    <row r="916" ht="15.5" x14ac:dyDescent="0.35"/>
    <row r="917" ht="15.5" x14ac:dyDescent="0.35"/>
    <row r="918" ht="15.5" x14ac:dyDescent="0.35"/>
    <row r="919" ht="15.5" x14ac:dyDescent="0.35"/>
    <row r="920" ht="15.5" x14ac:dyDescent="0.35"/>
    <row r="921" ht="15.5" x14ac:dyDescent="0.35"/>
    <row r="922" ht="15.5" x14ac:dyDescent="0.35"/>
    <row r="923" ht="15.5" x14ac:dyDescent="0.35"/>
    <row r="924" ht="15.5" x14ac:dyDescent="0.35"/>
    <row r="925" ht="15.5" x14ac:dyDescent="0.35"/>
    <row r="926" ht="15.5" x14ac:dyDescent="0.35"/>
  </sheetData>
  <mergeCells count="8">
    <mergeCell ref="A10:F10"/>
    <mergeCell ref="A12:F12"/>
    <mergeCell ref="A5:F5"/>
    <mergeCell ref="A1:G1"/>
    <mergeCell ref="A3:G3"/>
    <mergeCell ref="A4:G4"/>
    <mergeCell ref="A7:G7"/>
    <mergeCell ref="A11:G11"/>
  </mergeCells>
  <hyperlinks>
    <hyperlink ref="B30" r:id="rId1" xr:uid="{44705939-7D05-40AC-8165-5B7891383B4D}"/>
    <hyperlink ref="C8" r:id="rId2" xr:uid="{9328B8A4-0B26-491E-8E19-FA293871AED5}"/>
    <hyperlink ref="C6" r:id="rId3" xr:uid="{8A5D2600-9F64-4B63-8415-305107992E40}"/>
    <hyperlink ref="B31" r:id="rId4" xr:uid="{F8628674-88F0-4759-9724-AB8B2012F154}"/>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1CA0-A239-4258-8280-741A3BEE6F8A}">
  <sheetPr>
    <tabColor rgb="FFFFC000"/>
  </sheetPr>
  <dimension ref="A1:V108"/>
  <sheetViews>
    <sheetView zoomScale="80" zoomScaleNormal="80" workbookViewId="0">
      <selection activeCell="I86" sqref="I86"/>
    </sheetView>
  </sheetViews>
  <sheetFormatPr defaultColWidth="8.7265625" defaultRowHeight="14.5" x14ac:dyDescent="0.35"/>
  <cols>
    <col min="1" max="1" width="52" style="100" customWidth="1"/>
    <col min="2" max="3" width="10.453125" style="100" customWidth="1"/>
    <col min="4" max="4" width="11.54296875" style="100" customWidth="1"/>
    <col min="5" max="5" width="10.1796875" style="100" bestFit="1" customWidth="1"/>
    <col min="6" max="6" width="11.1796875" style="100" customWidth="1"/>
    <col min="7" max="7" width="8.7265625" style="100"/>
    <col min="8" max="8" width="13.54296875" style="100" bestFit="1" customWidth="1"/>
    <col min="9" max="9" width="11.26953125" style="100" bestFit="1" customWidth="1"/>
    <col min="10" max="10" width="11.81640625" style="100" bestFit="1" customWidth="1"/>
    <col min="11" max="11" width="11.1796875" style="100" customWidth="1"/>
    <col min="12" max="12" width="10.26953125" style="100" bestFit="1" customWidth="1"/>
    <col min="13" max="13" width="10.1796875" style="100" bestFit="1" customWidth="1"/>
    <col min="14" max="14" width="9.54296875" style="100" customWidth="1"/>
    <col min="15" max="17" width="8.7265625" style="100"/>
    <col min="18" max="18" width="10.81640625" style="100" customWidth="1"/>
    <col min="19" max="19" width="9.54296875" style="100" customWidth="1"/>
    <col min="20" max="20" width="8.7265625" style="100"/>
    <col min="21" max="22" width="9.54296875" style="100" customWidth="1"/>
    <col min="23" max="16384" width="8.7265625" style="100"/>
  </cols>
  <sheetData>
    <row r="1" spans="1:12" x14ac:dyDescent="0.35">
      <c r="A1" s="340" t="s">
        <v>267</v>
      </c>
      <c r="B1" s="340"/>
      <c r="C1" s="340"/>
      <c r="D1" s="340"/>
      <c r="E1" s="340"/>
      <c r="F1" s="340"/>
      <c r="G1" s="340"/>
      <c r="H1" s="340"/>
      <c r="I1" s="340"/>
      <c r="J1" s="340"/>
      <c r="K1" s="340"/>
      <c r="L1" s="340"/>
    </row>
    <row r="2" spans="1:12" x14ac:dyDescent="0.35">
      <c r="A2" s="145" t="s">
        <v>153</v>
      </c>
    </row>
    <row r="3" spans="1:12" ht="15.5" x14ac:dyDescent="0.35">
      <c r="A3" s="253" t="s">
        <v>275</v>
      </c>
    </row>
    <row r="5" spans="1:12" x14ac:dyDescent="0.35">
      <c r="A5" s="8" t="s">
        <v>46</v>
      </c>
    </row>
    <row r="6" spans="1:12" x14ac:dyDescent="0.35">
      <c r="A6" s="9" t="s">
        <v>1</v>
      </c>
    </row>
    <row r="7" spans="1:12" x14ac:dyDescent="0.35">
      <c r="A7" s="9"/>
    </row>
    <row r="8" spans="1:12" x14ac:dyDescent="0.35">
      <c r="A8" s="48" t="s">
        <v>111</v>
      </c>
    </row>
    <row r="9" spans="1:12" ht="15.5" x14ac:dyDescent="0.35">
      <c r="A9" s="341" t="s">
        <v>242</v>
      </c>
      <c r="B9" s="338"/>
      <c r="C9" s="339"/>
      <c r="D9" s="107">
        <f>(0.8)*100</f>
        <v>80</v>
      </c>
      <c r="E9" s="100" t="s">
        <v>47</v>
      </c>
      <c r="G9" s="100" t="s">
        <v>4</v>
      </c>
    </row>
    <row r="10" spans="1:12" ht="15.5" x14ac:dyDescent="0.35">
      <c r="A10" s="341" t="s">
        <v>113</v>
      </c>
      <c r="B10" s="338"/>
      <c r="C10" s="339"/>
      <c r="D10" s="308">
        <v>0.01</v>
      </c>
      <c r="G10" s="100" t="s">
        <v>6</v>
      </c>
      <c r="I10" s="10" t="s">
        <v>9</v>
      </c>
    </row>
    <row r="11" spans="1:12" ht="15.5" x14ac:dyDescent="0.35">
      <c r="A11" s="342" t="s">
        <v>110</v>
      </c>
      <c r="B11" s="343"/>
      <c r="C11" s="344"/>
      <c r="D11" s="106">
        <f>(10000)*10</f>
        <v>100000</v>
      </c>
      <c r="E11" s="100" t="s">
        <v>10</v>
      </c>
      <c r="G11" s="100" t="s">
        <v>4</v>
      </c>
    </row>
    <row r="12" spans="1:12" ht="15.5" x14ac:dyDescent="0.35">
      <c r="A12" s="342" t="s">
        <v>137</v>
      </c>
      <c r="B12" s="343"/>
      <c r="C12" s="344"/>
      <c r="D12" s="105">
        <v>0.8</v>
      </c>
    </row>
    <row r="13" spans="1:12" ht="15.5" x14ac:dyDescent="0.35">
      <c r="A13" s="342" t="s">
        <v>138</v>
      </c>
      <c r="B13" s="343"/>
      <c r="C13" s="344"/>
      <c r="D13" s="106">
        <f>(D11*D12)</f>
        <v>80000</v>
      </c>
      <c r="E13" s="100" t="s">
        <v>10</v>
      </c>
    </row>
    <row r="14" spans="1:12" ht="15.5" x14ac:dyDescent="0.35">
      <c r="A14" s="346" t="s">
        <v>139</v>
      </c>
      <c r="B14" s="346"/>
      <c r="C14" s="346"/>
      <c r="D14" s="106" t="s">
        <v>4</v>
      </c>
      <c r="E14" s="100" t="s">
        <v>4</v>
      </c>
    </row>
    <row r="15" spans="1:12" x14ac:dyDescent="0.35">
      <c r="A15" s="46"/>
      <c r="B15" s="46"/>
      <c r="C15" s="46"/>
      <c r="D15" s="47"/>
    </row>
    <row r="16" spans="1:12" x14ac:dyDescent="0.35">
      <c r="A16" s="46"/>
      <c r="B16" s="46"/>
      <c r="C16" s="46"/>
      <c r="D16" s="47"/>
    </row>
    <row r="17" spans="1:14" x14ac:dyDescent="0.35">
      <c r="A17" s="49" t="s">
        <v>112</v>
      </c>
      <c r="B17" s="46"/>
      <c r="C17" s="46"/>
      <c r="D17" s="47"/>
    </row>
    <row r="18" spans="1:14" ht="15.5" x14ac:dyDescent="0.35">
      <c r="A18" s="345" t="s">
        <v>114</v>
      </c>
      <c r="B18" s="338"/>
      <c r="C18" s="339"/>
      <c r="D18" s="11">
        <v>2.5</v>
      </c>
    </row>
    <row r="19" spans="1:14" ht="15.5" x14ac:dyDescent="0.35">
      <c r="A19" s="337" t="s">
        <v>244</v>
      </c>
      <c r="B19" s="338"/>
      <c r="C19" s="339"/>
      <c r="D19" s="39">
        <f>(30000+40000)/2</f>
        <v>35000</v>
      </c>
      <c r="G19" s="100" t="s">
        <v>4</v>
      </c>
      <c r="I19" s="10" t="s">
        <v>4</v>
      </c>
    </row>
    <row r="20" spans="1:14" ht="15.5" x14ac:dyDescent="0.35">
      <c r="A20" s="345" t="s">
        <v>48</v>
      </c>
      <c r="B20" s="338"/>
      <c r="C20" s="339"/>
      <c r="D20" s="97">
        <v>0.15</v>
      </c>
      <c r="G20" s="100" t="s">
        <v>6</v>
      </c>
      <c r="H20" s="10" t="s">
        <v>18</v>
      </c>
      <c r="I20" s="10" t="s">
        <v>19</v>
      </c>
      <c r="K20" s="10" t="s">
        <v>20</v>
      </c>
      <c r="L20" s="100" t="s">
        <v>273</v>
      </c>
    </row>
    <row r="21" spans="1:14" ht="15.5" x14ac:dyDescent="0.35">
      <c r="A21" s="348" t="s">
        <v>49</v>
      </c>
      <c r="B21" s="338"/>
      <c r="C21" s="339"/>
      <c r="D21" s="59">
        <v>0</v>
      </c>
      <c r="G21" s="100" t="s">
        <v>4</v>
      </c>
      <c r="I21" s="10" t="s">
        <v>4</v>
      </c>
      <c r="K21" s="10" t="s">
        <v>4</v>
      </c>
      <c r="N21" s="10" t="s">
        <v>4</v>
      </c>
    </row>
    <row r="22" spans="1:14" ht="15.5" x14ac:dyDescent="0.35">
      <c r="A22" s="349" t="s">
        <v>118</v>
      </c>
      <c r="B22" s="350"/>
      <c r="C22" s="350"/>
      <c r="D22" s="52">
        <v>0</v>
      </c>
    </row>
    <row r="23" spans="1:14" ht="15.5" x14ac:dyDescent="0.35">
      <c r="A23" s="351" t="s">
        <v>119</v>
      </c>
      <c r="B23" s="352"/>
      <c r="C23" s="353"/>
      <c r="D23" s="60">
        <v>1</v>
      </c>
      <c r="H23" s="100" t="s">
        <v>4</v>
      </c>
    </row>
    <row r="24" spans="1:14" ht="15.5" x14ac:dyDescent="0.35">
      <c r="A24" s="354" t="s">
        <v>245</v>
      </c>
      <c r="B24" s="355"/>
      <c r="C24" s="356"/>
      <c r="D24" s="61">
        <v>0</v>
      </c>
      <c r="E24" s="4" t="s">
        <v>47</v>
      </c>
      <c r="G24" s="100" t="s">
        <v>4</v>
      </c>
    </row>
    <row r="25" spans="1:14" ht="15.65" customHeight="1" x14ac:dyDescent="0.35">
      <c r="A25" s="357" t="s">
        <v>246</v>
      </c>
      <c r="B25" s="350"/>
      <c r="C25" s="358"/>
      <c r="D25" s="309">
        <f>(500)</f>
        <v>500</v>
      </c>
      <c r="E25" s="101" t="s">
        <v>4</v>
      </c>
      <c r="G25" s="100" t="s">
        <v>4</v>
      </c>
    </row>
    <row r="26" spans="1:14" ht="15.5" x14ac:dyDescent="0.35">
      <c r="A26" s="359" t="s">
        <v>131</v>
      </c>
      <c r="B26" s="360"/>
      <c r="C26" s="361"/>
      <c r="D26" s="58">
        <f>(D13*0.7)</f>
        <v>56000</v>
      </c>
      <c r="E26" s="100" t="s">
        <v>27</v>
      </c>
      <c r="F26" s="100" t="s">
        <v>4</v>
      </c>
      <c r="G26" s="100" t="s">
        <v>259</v>
      </c>
      <c r="L26" s="100" t="s">
        <v>4</v>
      </c>
    </row>
    <row r="27" spans="1:14" ht="15.65" customHeight="1" x14ac:dyDescent="0.35">
      <c r="A27" s="362" t="s">
        <v>83</v>
      </c>
      <c r="B27" s="350"/>
      <c r="C27" s="358"/>
      <c r="D27" s="62">
        <v>0</v>
      </c>
      <c r="G27" s="100" t="s">
        <v>4</v>
      </c>
    </row>
    <row r="28" spans="1:14" ht="15.5" x14ac:dyDescent="0.35">
      <c r="A28" s="363" t="s">
        <v>243</v>
      </c>
      <c r="B28" s="363"/>
      <c r="C28" s="363"/>
      <c r="D28" s="317">
        <f>(8.75)</f>
        <v>8.75</v>
      </c>
      <c r="E28" s="100" t="s">
        <v>3</v>
      </c>
    </row>
    <row r="29" spans="1:14" ht="15.5" x14ac:dyDescent="0.35">
      <c r="A29" s="347" t="s">
        <v>115</v>
      </c>
      <c r="B29" s="347"/>
      <c r="C29" s="347"/>
      <c r="D29" s="318">
        <v>5000</v>
      </c>
      <c r="E29" s="100" t="s">
        <v>4</v>
      </c>
    </row>
    <row r="30" spans="1:14" ht="15.5" x14ac:dyDescent="0.35">
      <c r="A30" s="347" t="s">
        <v>116</v>
      </c>
      <c r="B30" s="347"/>
      <c r="C30" s="347"/>
      <c r="D30" s="54">
        <v>5</v>
      </c>
      <c r="E30" s="100" t="s">
        <v>85</v>
      </c>
    </row>
    <row r="31" spans="1:14" ht="15.5" x14ac:dyDescent="0.35">
      <c r="A31" s="347" t="s">
        <v>117</v>
      </c>
      <c r="B31" s="347"/>
      <c r="C31" s="347"/>
      <c r="D31" s="53">
        <v>1.4999999999999999E-2</v>
      </c>
    </row>
    <row r="32" spans="1:14" ht="15.5" x14ac:dyDescent="0.35">
      <c r="A32" s="50"/>
      <c r="B32" s="44"/>
      <c r="C32" s="44"/>
      <c r="D32" s="51"/>
    </row>
    <row r="33" spans="1:22" ht="15.5" x14ac:dyDescent="0.35">
      <c r="A33" s="50"/>
      <c r="B33" s="44"/>
      <c r="C33" s="44"/>
      <c r="D33" s="51"/>
    </row>
    <row r="34" spans="1:22" ht="15.5" x14ac:dyDescent="0.35">
      <c r="A34" s="50"/>
      <c r="B34" s="44"/>
      <c r="C34" s="44"/>
      <c r="D34" s="51"/>
    </row>
    <row r="35" spans="1:22" ht="15.5" x14ac:dyDescent="0.35">
      <c r="A35" s="50"/>
      <c r="B35" s="44"/>
      <c r="C35" s="44"/>
      <c r="D35" s="51"/>
    </row>
    <row r="36" spans="1:22" ht="15.5" x14ac:dyDescent="0.35">
      <c r="A36" s="25" t="s">
        <v>99</v>
      </c>
      <c r="B36" s="12"/>
      <c r="C36" s="12"/>
      <c r="D36" s="12"/>
    </row>
    <row r="37" spans="1:22" ht="124" x14ac:dyDescent="0.3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5" x14ac:dyDescent="0.35">
      <c r="A38" s="24">
        <v>0</v>
      </c>
      <c r="B38" s="33">
        <f>D9</f>
        <v>80</v>
      </c>
      <c r="C38" s="24">
        <v>0</v>
      </c>
      <c r="D38" s="33">
        <f>(D13/1000*B38)+C38</f>
        <v>6400</v>
      </c>
      <c r="E38" s="117">
        <f>(0)</f>
        <v>0</v>
      </c>
      <c r="F38" s="118">
        <f>IF((D30&gt;0),0,$D$70)</f>
        <v>0</v>
      </c>
      <c r="G38" s="321">
        <f>(0)</f>
        <v>0</v>
      </c>
      <c r="H38" s="321">
        <f>IF(D29&gt;0,(D29),"")</f>
        <v>5000</v>
      </c>
      <c r="I38" s="321">
        <f>IF(OR(H38="",H38=0),0,D70-D29)</f>
        <v>24750</v>
      </c>
      <c r="J38" s="120">
        <v>0</v>
      </c>
      <c r="K38" s="121">
        <f>IFERROR(F38+G38+I38+J38,J38)</f>
        <v>24750</v>
      </c>
      <c r="L38" s="32">
        <f>S38-K38</f>
        <v>-24750</v>
      </c>
      <c r="M38" s="21">
        <f>L38</f>
        <v>-24750</v>
      </c>
      <c r="N38" s="122" t="s">
        <v>4</v>
      </c>
      <c r="O38" s="24">
        <f t="shared" ref="O38:O58" si="0">IF(N38&lt;0,1,0)</f>
        <v>0</v>
      </c>
      <c r="P38" s="33">
        <f>D9</f>
        <v>80</v>
      </c>
      <c r="Q38" s="33">
        <f>D24</f>
        <v>0</v>
      </c>
      <c r="R38" s="43">
        <f>IF(D24&gt;0,G105,I105)</f>
        <v>55999.999999999993</v>
      </c>
      <c r="S38" s="21">
        <v>0</v>
      </c>
      <c r="T38" s="64">
        <v>0</v>
      </c>
      <c r="U38" s="66">
        <f>D38</f>
        <v>6400</v>
      </c>
      <c r="V38" s="66">
        <f>(K38)</f>
        <v>24750</v>
      </c>
    </row>
    <row r="39" spans="1:22" ht="15.5" x14ac:dyDescent="0.35">
      <c r="A39" s="24">
        <v>1</v>
      </c>
      <c r="B39" s="33">
        <f>(1+D10)*B38</f>
        <v>80.8</v>
      </c>
      <c r="C39" s="24">
        <v>0</v>
      </c>
      <c r="D39" s="33">
        <f>(D13/1000*B39)+C39</f>
        <v>6464</v>
      </c>
      <c r="E39" s="117">
        <f>IF(OR(H38="",H38=0),"",E38+1)</f>
        <v>1</v>
      </c>
      <c r="F39" s="118">
        <f>IF(E39="","",$D$29/$D$30)</f>
        <v>1000</v>
      </c>
      <c r="G39" s="321">
        <f>IF(E39="","",(H38*$D$31))</f>
        <v>75</v>
      </c>
      <c r="H39" s="321">
        <f>IFERROR(ROUND(IF(E39="","",($H$38-SUM($F$38:F39))),2),"")</f>
        <v>4000</v>
      </c>
      <c r="I39" s="119"/>
      <c r="J39" s="120">
        <f>D25</f>
        <v>500</v>
      </c>
      <c r="K39" s="121">
        <f>IFERROR(F39+G39+I39+J39,J39)</f>
        <v>1575</v>
      </c>
      <c r="L39" s="32">
        <f>S39-K39</f>
        <v>2949.7999999999993</v>
      </c>
      <c r="M39" s="21">
        <f t="shared" ref="M39:M56" si="1">M38+$L39</f>
        <v>-21800.2</v>
      </c>
      <c r="N39" s="21">
        <f>NPV(D22,L38:L39)</f>
        <v>-21800.2</v>
      </c>
      <c r="O39" s="24">
        <f t="shared" si="0"/>
        <v>1</v>
      </c>
      <c r="P39" s="33">
        <f t="shared" ref="P39:Q54" si="2">(1+$D$10)*P38</f>
        <v>80.8</v>
      </c>
      <c r="Q39" s="33">
        <f t="shared" si="2"/>
        <v>0</v>
      </c>
      <c r="R39" s="43">
        <f>R38*(1+$D$27)</f>
        <v>55999.999999999993</v>
      </c>
      <c r="S39" s="21">
        <f>R39*D23*P39/1000+R39*(1-D23)*D24/1000</f>
        <v>4524.7999999999993</v>
      </c>
      <c r="T39" s="64">
        <v>1</v>
      </c>
      <c r="U39" s="66">
        <f t="shared" ref="U39:U58" si="3">(U38+D39)</f>
        <v>12864</v>
      </c>
      <c r="V39" s="66">
        <f>(V38+(D71+D72))</f>
        <v>28630</v>
      </c>
    </row>
    <row r="40" spans="1:22" ht="15.5" x14ac:dyDescent="0.35">
      <c r="A40" s="24">
        <v>2</v>
      </c>
      <c r="B40" s="33">
        <f>(1+D10)*B39</f>
        <v>81.608000000000004</v>
      </c>
      <c r="C40" s="24">
        <v>0</v>
      </c>
      <c r="D40" s="33">
        <f>(D13/1000*B40)+C40</f>
        <v>6528.64</v>
      </c>
      <c r="E40" s="117">
        <f>IF(OR(H39="",H39=0),"",E39+1)</f>
        <v>2</v>
      </c>
      <c r="F40" s="118">
        <f t="shared" ref="F40:F58" si="4">IF(E40="","",$D$29/$D$30)</f>
        <v>1000</v>
      </c>
      <c r="G40" s="321">
        <f t="shared" ref="G40:G58" si="5">IF(E40="","",(H39*$D$31))</f>
        <v>60</v>
      </c>
      <c r="H40" s="321">
        <f>IFERROR(ROUND(IF(E40="","",($H$38-SUM($F$38:F40))),2),"")</f>
        <v>3000</v>
      </c>
      <c r="I40" s="119"/>
      <c r="J40" s="120">
        <f>D25</f>
        <v>500</v>
      </c>
      <c r="K40" s="121">
        <f t="shared" ref="K40:K58" si="6">IFERROR(F40+G40+I40+J40,J40)</f>
        <v>1560</v>
      </c>
      <c r="L40" s="32">
        <f t="shared" ref="L40:L58" si="7">S40-K40</f>
        <v>3010.0479999999998</v>
      </c>
      <c r="M40" s="21">
        <f t="shared" si="1"/>
        <v>-18790.152000000002</v>
      </c>
      <c r="N40" s="21">
        <f>NPV(D22,L38:L40)</f>
        <v>-18790.152000000002</v>
      </c>
      <c r="O40" s="24">
        <f t="shared" si="0"/>
        <v>1</v>
      </c>
      <c r="P40" s="33">
        <f t="shared" si="2"/>
        <v>81.608000000000004</v>
      </c>
      <c r="Q40" s="33">
        <f t="shared" si="2"/>
        <v>0</v>
      </c>
      <c r="R40" s="43">
        <f t="shared" ref="R40:R58" si="8">R39*(1+$D$27)</f>
        <v>55999.999999999993</v>
      </c>
      <c r="S40" s="21">
        <f>R40*D23*P40/1000+R40*(1-D23)*D24/1000</f>
        <v>4570.0479999999998</v>
      </c>
      <c r="T40" s="64">
        <v>2</v>
      </c>
      <c r="U40" s="66">
        <f t="shared" si="3"/>
        <v>19392.64</v>
      </c>
      <c r="V40" s="66">
        <f>(V39+(D71+D72))</f>
        <v>32510</v>
      </c>
    </row>
    <row r="41" spans="1:22" ht="15.5" x14ac:dyDescent="0.35">
      <c r="A41" s="24">
        <v>3</v>
      </c>
      <c r="B41" s="33">
        <f>(1+D10)*B40</f>
        <v>82.424080000000004</v>
      </c>
      <c r="C41" s="24">
        <v>0</v>
      </c>
      <c r="D41" s="33">
        <f>(D13/1000*B41)+C41</f>
        <v>6593.9264000000003</v>
      </c>
      <c r="E41" s="117">
        <f t="shared" ref="E41:E58" si="9">IF(OR(H40="",H40=0),"",E40+1)</f>
        <v>3</v>
      </c>
      <c r="F41" s="118">
        <f t="shared" si="4"/>
        <v>1000</v>
      </c>
      <c r="G41" s="321">
        <f t="shared" si="5"/>
        <v>45</v>
      </c>
      <c r="H41" s="321">
        <f>IFERROR(ROUND(IF(E41="","",($H$38-SUM($F$38:F41))),2),"")</f>
        <v>2000</v>
      </c>
      <c r="I41" s="119"/>
      <c r="J41" s="120">
        <f>D25</f>
        <v>500</v>
      </c>
      <c r="K41" s="121">
        <f t="shared" si="6"/>
        <v>1545</v>
      </c>
      <c r="L41" s="32">
        <f t="shared" si="7"/>
        <v>3070.7484799999993</v>
      </c>
      <c r="M41" s="21">
        <f t="shared" si="1"/>
        <v>-15719.403520000003</v>
      </c>
      <c r="N41" s="21">
        <f>NPV(D22,L38:L41)</f>
        <v>-15719.403520000003</v>
      </c>
      <c r="O41" s="24">
        <f t="shared" si="0"/>
        <v>1</v>
      </c>
      <c r="P41" s="33">
        <f t="shared" si="2"/>
        <v>82.424080000000004</v>
      </c>
      <c r="Q41" s="33">
        <f t="shared" si="2"/>
        <v>0</v>
      </c>
      <c r="R41" s="43">
        <f t="shared" si="8"/>
        <v>55999.999999999993</v>
      </c>
      <c r="S41" s="21">
        <f>R41*D23*P41/1000+R41*(1-D23)*D24/1000</f>
        <v>4615.7484799999993</v>
      </c>
      <c r="T41" s="64">
        <v>3</v>
      </c>
      <c r="U41" s="66">
        <f t="shared" si="3"/>
        <v>25986.5664</v>
      </c>
      <c r="V41" s="66">
        <f>(V40+(D71+D72))</f>
        <v>36390</v>
      </c>
    </row>
    <row r="42" spans="1:22" ht="15.5" x14ac:dyDescent="0.35">
      <c r="A42" s="24">
        <v>4</v>
      </c>
      <c r="B42" s="33">
        <f>(1+D10)*B41</f>
        <v>83.248320800000002</v>
      </c>
      <c r="C42" s="24">
        <v>0</v>
      </c>
      <c r="D42" s="33">
        <f>(D13/1000*B42)+C42</f>
        <v>6659.8656639999999</v>
      </c>
      <c r="E42" s="117">
        <f t="shared" si="9"/>
        <v>4</v>
      </c>
      <c r="F42" s="118">
        <f t="shared" si="4"/>
        <v>1000</v>
      </c>
      <c r="G42" s="321">
        <f t="shared" si="5"/>
        <v>30</v>
      </c>
      <c r="H42" s="321">
        <f>IFERROR(ROUND(IF(E42="","",($H$38-SUM($F$38:F42))),2),"")</f>
        <v>1000</v>
      </c>
      <c r="I42" s="119"/>
      <c r="J42" s="120">
        <f>D25</f>
        <v>500</v>
      </c>
      <c r="K42" s="121">
        <f t="shared" si="6"/>
        <v>1530</v>
      </c>
      <c r="L42" s="32">
        <f t="shared" si="7"/>
        <v>3131.9059647999993</v>
      </c>
      <c r="M42" s="69">
        <f t="shared" si="1"/>
        <v>-12587.497555200003</v>
      </c>
      <c r="N42" s="21">
        <f>NPV(D22,L38:L42)</f>
        <v>-12587.497555200003</v>
      </c>
      <c r="O42" s="24">
        <f t="shared" si="0"/>
        <v>1</v>
      </c>
      <c r="P42" s="33">
        <f t="shared" si="2"/>
        <v>83.248320800000002</v>
      </c>
      <c r="Q42" s="33">
        <f t="shared" si="2"/>
        <v>0</v>
      </c>
      <c r="R42" s="43">
        <f t="shared" si="8"/>
        <v>55999.999999999993</v>
      </c>
      <c r="S42" s="21">
        <f>R42*D23*P42/1000+R42*(1-D23)*D24/1000</f>
        <v>4661.9059647999993</v>
      </c>
      <c r="T42" s="64">
        <v>4</v>
      </c>
      <c r="U42" s="66">
        <f t="shared" si="3"/>
        <v>32646.432064000001</v>
      </c>
      <c r="V42" s="66">
        <f>(V41+(D71+D72))</f>
        <v>40270</v>
      </c>
    </row>
    <row r="43" spans="1:22" ht="15.5" x14ac:dyDescent="0.35">
      <c r="A43" s="24">
        <v>5</v>
      </c>
      <c r="B43" s="33">
        <f>(1+D10)*B42</f>
        <v>84.080804008000001</v>
      </c>
      <c r="C43" s="24">
        <v>0</v>
      </c>
      <c r="D43" s="33">
        <f>(D13/1000*B43)+C43</f>
        <v>6726.4643206399996</v>
      </c>
      <c r="E43" s="117">
        <f t="shared" si="9"/>
        <v>5</v>
      </c>
      <c r="F43" s="118">
        <f t="shared" si="4"/>
        <v>1000</v>
      </c>
      <c r="G43" s="321">
        <f t="shared" si="5"/>
        <v>15</v>
      </c>
      <c r="H43" s="321">
        <f>IFERROR(ROUND(IF(E43="","",($H$38-SUM($F$38:F43))),2),"")</f>
        <v>0</v>
      </c>
      <c r="I43" s="119"/>
      <c r="J43" s="120">
        <f>D25</f>
        <v>500</v>
      </c>
      <c r="K43" s="121">
        <f t="shared" si="6"/>
        <v>1515</v>
      </c>
      <c r="L43" s="32">
        <f t="shared" si="7"/>
        <v>3193.5250244480003</v>
      </c>
      <c r="M43" s="70">
        <f t="shared" si="1"/>
        <v>-9393.9725307520021</v>
      </c>
      <c r="N43" s="21">
        <f>NPV(D22,L38:L43)</f>
        <v>-9393.9725307520021</v>
      </c>
      <c r="O43" s="24">
        <f t="shared" si="0"/>
        <v>1</v>
      </c>
      <c r="P43" s="33">
        <f t="shared" si="2"/>
        <v>84.080804008000001</v>
      </c>
      <c r="Q43" s="33">
        <f t="shared" si="2"/>
        <v>0</v>
      </c>
      <c r="R43" s="43">
        <f t="shared" si="8"/>
        <v>55999.999999999993</v>
      </c>
      <c r="S43" s="21">
        <f>R43*D23*P43/1000+R43*(1-D23)*D24/1000</f>
        <v>4708.5250244480003</v>
      </c>
      <c r="T43" s="64">
        <v>5</v>
      </c>
      <c r="U43" s="66">
        <f t="shared" si="3"/>
        <v>39372.89638464</v>
      </c>
      <c r="V43" s="66">
        <f>(V42+(D71+D72))</f>
        <v>44150</v>
      </c>
    </row>
    <row r="44" spans="1:22" ht="15.5" x14ac:dyDescent="0.35">
      <c r="A44" s="24">
        <v>6</v>
      </c>
      <c r="B44" s="33">
        <f>(1+D10)*B43</f>
        <v>84.921612048080007</v>
      </c>
      <c r="C44" s="24">
        <v>0</v>
      </c>
      <c r="D44" s="33">
        <f>(D13/1000*B44)+C44</f>
        <v>6793.7289638464008</v>
      </c>
      <c r="E44" s="117" t="str">
        <f t="shared" si="9"/>
        <v/>
      </c>
      <c r="F44" s="118" t="str">
        <f t="shared" si="4"/>
        <v/>
      </c>
      <c r="G44" s="321" t="str">
        <f t="shared" si="5"/>
        <v/>
      </c>
      <c r="H44" s="321" t="str">
        <f>IFERROR(ROUND(IF(E44="","",($H$38-SUM($F$38:F44))),2),"")</f>
        <v/>
      </c>
      <c r="I44" s="119"/>
      <c r="J44" s="120">
        <f>D25</f>
        <v>500</v>
      </c>
      <c r="K44" s="121">
        <f t="shared" si="6"/>
        <v>500</v>
      </c>
      <c r="L44" s="68">
        <f t="shared" si="7"/>
        <v>4255.6102746924798</v>
      </c>
      <c r="M44" s="70">
        <f t="shared" si="1"/>
        <v>-5138.3622560595222</v>
      </c>
      <c r="N44" s="123">
        <f>NPV(D22,L38:L44)</f>
        <v>-5138.3622560595222</v>
      </c>
      <c r="O44" s="67">
        <f t="shared" si="0"/>
        <v>1</v>
      </c>
      <c r="P44" s="33">
        <f t="shared" si="2"/>
        <v>84.921612048080007</v>
      </c>
      <c r="Q44" s="33">
        <f t="shared" si="2"/>
        <v>0</v>
      </c>
      <c r="R44" s="43">
        <f t="shared" si="8"/>
        <v>55999.999999999993</v>
      </c>
      <c r="S44" s="21">
        <f>R44*D23*P44/1000+R44*(1-D23)*D24/1000</f>
        <v>4755.6102746924798</v>
      </c>
      <c r="T44" s="64">
        <v>6</v>
      </c>
      <c r="U44" s="66">
        <f t="shared" si="3"/>
        <v>46166.625348486399</v>
      </c>
      <c r="V44" s="66">
        <f>(V43+(D71+D72))</f>
        <v>48030</v>
      </c>
    </row>
    <row r="45" spans="1:22" ht="15.5" x14ac:dyDescent="0.35">
      <c r="A45" s="24">
        <v>7</v>
      </c>
      <c r="B45" s="33">
        <f>(1+D10)*B44</f>
        <v>85.770828168560811</v>
      </c>
      <c r="C45" s="24">
        <v>0</v>
      </c>
      <c r="D45" s="33">
        <f>(D13/1000*B45)+C45</f>
        <v>6861.6662534848647</v>
      </c>
      <c r="E45" s="117" t="str">
        <f t="shared" si="9"/>
        <v/>
      </c>
      <c r="F45" s="118" t="str">
        <f t="shared" si="4"/>
        <v/>
      </c>
      <c r="G45" s="321" t="str">
        <f t="shared" si="5"/>
        <v/>
      </c>
      <c r="H45" s="321" t="str">
        <f>IFERROR(ROUND(IF(E45="","",($H$38-SUM($F$38:F45))),2),"")</f>
        <v/>
      </c>
      <c r="I45" s="119"/>
      <c r="J45" s="120">
        <f>D25</f>
        <v>500</v>
      </c>
      <c r="K45" s="121">
        <f t="shared" si="6"/>
        <v>500</v>
      </c>
      <c r="L45" s="68">
        <f t="shared" si="7"/>
        <v>4303.1663774394046</v>
      </c>
      <c r="M45" s="70">
        <f t="shared" si="1"/>
        <v>-835.19587862011758</v>
      </c>
      <c r="N45" s="70">
        <f>NPV(D22,L38:L45)</f>
        <v>-835.19587862011758</v>
      </c>
      <c r="O45" s="67">
        <f t="shared" si="0"/>
        <v>1</v>
      </c>
      <c r="P45" s="33">
        <f t="shared" si="2"/>
        <v>85.770828168560811</v>
      </c>
      <c r="Q45" s="33">
        <f t="shared" si="2"/>
        <v>0</v>
      </c>
      <c r="R45" s="43">
        <f t="shared" si="8"/>
        <v>55999.999999999993</v>
      </c>
      <c r="S45" s="21">
        <f>R45*D23*P45/1000+R45*(1-D23)*D24/1000</f>
        <v>4803.1663774394046</v>
      </c>
      <c r="T45" s="64">
        <v>7</v>
      </c>
      <c r="U45" s="66">
        <f t="shared" si="3"/>
        <v>53028.291601971265</v>
      </c>
      <c r="V45" s="66">
        <f>(V44+(D71+D72))</f>
        <v>51910</v>
      </c>
    </row>
    <row r="46" spans="1:22" ht="15.5" x14ac:dyDescent="0.35">
      <c r="A46" s="24">
        <v>8</v>
      </c>
      <c r="B46" s="33">
        <f>(1+D10)*B45</f>
        <v>86.628536450246415</v>
      </c>
      <c r="C46" s="24">
        <v>0</v>
      </c>
      <c r="D46" s="33">
        <f>(D13/1000*B46)+C46</f>
        <v>6930.2829160197134</v>
      </c>
      <c r="E46" s="117" t="str">
        <f t="shared" si="9"/>
        <v/>
      </c>
      <c r="F46" s="118" t="str">
        <f t="shared" si="4"/>
        <v/>
      </c>
      <c r="G46" s="321" t="str">
        <f t="shared" si="5"/>
        <v/>
      </c>
      <c r="H46" s="321" t="str">
        <f>IFERROR(ROUND(IF(E46="","",($H$38-SUM($F$38:F46))),2),"")</f>
        <v/>
      </c>
      <c r="I46" s="119"/>
      <c r="J46" s="120">
        <f>D25</f>
        <v>500</v>
      </c>
      <c r="K46" s="121">
        <f t="shared" si="6"/>
        <v>500</v>
      </c>
      <c r="L46" s="68">
        <f t="shared" si="7"/>
        <v>4351.1980412137982</v>
      </c>
      <c r="M46" s="70">
        <f t="shared" si="1"/>
        <v>3516.0021625936806</v>
      </c>
      <c r="N46" s="124">
        <f>NPV(D22,L38:L46)</f>
        <v>3516.0021625936806</v>
      </c>
      <c r="O46" s="67">
        <f t="shared" si="0"/>
        <v>0</v>
      </c>
      <c r="P46" s="33">
        <f t="shared" si="2"/>
        <v>86.628536450246415</v>
      </c>
      <c r="Q46" s="33">
        <f t="shared" si="2"/>
        <v>0</v>
      </c>
      <c r="R46" s="43">
        <f t="shared" si="8"/>
        <v>55999.999999999993</v>
      </c>
      <c r="S46" s="21">
        <f>R46*D23*P46/1000+R46*(1-D23)*D24/1000</f>
        <v>4851.1980412137982</v>
      </c>
      <c r="T46" s="64">
        <v>8</v>
      </c>
      <c r="U46" s="66">
        <f t="shared" si="3"/>
        <v>59958.574517990979</v>
      </c>
      <c r="V46" s="66">
        <f>(V45+(D71+D72))</f>
        <v>55790</v>
      </c>
    </row>
    <row r="47" spans="1:22" ht="15.5" x14ac:dyDescent="0.35">
      <c r="A47" s="24">
        <v>9</v>
      </c>
      <c r="B47" s="33">
        <f>(1+D10)*B46</f>
        <v>87.494821814748875</v>
      </c>
      <c r="C47" s="24">
        <v>0</v>
      </c>
      <c r="D47" s="33">
        <f>(D13/1000*B47)+C47</f>
        <v>6999.5857451799102</v>
      </c>
      <c r="E47" s="117" t="str">
        <f t="shared" si="9"/>
        <v/>
      </c>
      <c r="F47" s="118" t="str">
        <f t="shared" si="4"/>
        <v/>
      </c>
      <c r="G47" s="321" t="str">
        <f t="shared" si="5"/>
        <v/>
      </c>
      <c r="H47" s="321" t="str">
        <f>IFERROR(ROUND(IF(E47="","",($H$38-SUM($F$38:F47))),2),"")</f>
        <v/>
      </c>
      <c r="I47" s="119"/>
      <c r="J47" s="120">
        <f>D25</f>
        <v>500</v>
      </c>
      <c r="K47" s="121">
        <f t="shared" si="6"/>
        <v>500</v>
      </c>
      <c r="L47" s="68">
        <f t="shared" si="7"/>
        <v>4399.710021625936</v>
      </c>
      <c r="M47" s="70">
        <f t="shared" si="1"/>
        <v>7915.7121842196166</v>
      </c>
      <c r="N47" s="125">
        <f>NPV(D22,L38:L47)</f>
        <v>7915.7121842196166</v>
      </c>
      <c r="O47" s="67">
        <f t="shared" si="0"/>
        <v>0</v>
      </c>
      <c r="P47" s="33">
        <f t="shared" si="2"/>
        <v>87.494821814748875</v>
      </c>
      <c r="Q47" s="33">
        <f t="shared" si="2"/>
        <v>0</v>
      </c>
      <c r="R47" s="43">
        <f t="shared" si="8"/>
        <v>55999.999999999993</v>
      </c>
      <c r="S47" s="21">
        <f>R47*D23*P47/1000+R47*(1-D23)*D24/1000</f>
        <v>4899.710021625936</v>
      </c>
      <c r="T47" s="64">
        <v>9</v>
      </c>
      <c r="U47" s="66">
        <f t="shared" si="3"/>
        <v>66958.160263170896</v>
      </c>
      <c r="V47" s="66">
        <f>(V46+(D71+D72))</f>
        <v>59670</v>
      </c>
    </row>
    <row r="48" spans="1:22" ht="15.5" x14ac:dyDescent="0.35">
      <c r="A48" s="24">
        <v>10</v>
      </c>
      <c r="B48" s="33">
        <f>(1+D10)*B47</f>
        <v>88.369770032896369</v>
      </c>
      <c r="C48" s="24">
        <v>0</v>
      </c>
      <c r="D48" s="33">
        <f>(D13/1000*B48)+C48</f>
        <v>7069.5816026317098</v>
      </c>
      <c r="E48" s="117" t="str">
        <f t="shared" si="9"/>
        <v/>
      </c>
      <c r="F48" s="118" t="str">
        <f t="shared" si="4"/>
        <v/>
      </c>
      <c r="G48" s="321" t="str">
        <f t="shared" si="5"/>
        <v/>
      </c>
      <c r="H48" s="321" t="str">
        <f>IFERROR(ROUND(IF(E48="","",($H$38-SUM($F$38:F48))),2),"")</f>
        <v/>
      </c>
      <c r="I48" s="119"/>
      <c r="J48" s="120">
        <f>D25</f>
        <v>500</v>
      </c>
      <c r="K48" s="121">
        <f t="shared" si="6"/>
        <v>500</v>
      </c>
      <c r="L48" s="68">
        <f t="shared" si="7"/>
        <v>4448.7071218421961</v>
      </c>
      <c r="M48" s="70">
        <f t="shared" si="1"/>
        <v>12364.419306061813</v>
      </c>
      <c r="N48" s="125">
        <f>NPV(D22,L38:L48)</f>
        <v>12364.419306061813</v>
      </c>
      <c r="O48" s="67">
        <f t="shared" si="0"/>
        <v>0</v>
      </c>
      <c r="P48" s="33">
        <f t="shared" si="2"/>
        <v>88.369770032896369</v>
      </c>
      <c r="Q48" s="33">
        <f t="shared" si="2"/>
        <v>0</v>
      </c>
      <c r="R48" s="43">
        <f t="shared" si="8"/>
        <v>55999.999999999993</v>
      </c>
      <c r="S48" s="21">
        <f>R48*D23*P48/1000+R48*(1-D23)*D24/1000</f>
        <v>4948.7071218421961</v>
      </c>
      <c r="T48" s="64">
        <v>10</v>
      </c>
      <c r="U48" s="66">
        <f t="shared" si="3"/>
        <v>74027.7418658026</v>
      </c>
      <c r="V48" s="66">
        <f>(V47+(D71+D72))</f>
        <v>63550</v>
      </c>
    </row>
    <row r="49" spans="1:22" ht="15.5" x14ac:dyDescent="0.35">
      <c r="A49" s="24">
        <v>11</v>
      </c>
      <c r="B49" s="33">
        <f>(1+D10)*B48</f>
        <v>89.253467733225335</v>
      </c>
      <c r="C49" s="24">
        <v>0</v>
      </c>
      <c r="D49" s="33">
        <f>(D13/1000*B49)+C49</f>
        <v>7140.2774186580264</v>
      </c>
      <c r="E49" s="117" t="str">
        <f t="shared" si="9"/>
        <v/>
      </c>
      <c r="F49" s="118" t="str">
        <f t="shared" si="4"/>
        <v/>
      </c>
      <c r="G49" s="321" t="str">
        <f t="shared" si="5"/>
        <v/>
      </c>
      <c r="H49" s="321" t="str">
        <f>IFERROR(ROUND(IF(E49="","",($H$38-SUM($F$38:F49))),2),"")</f>
        <v/>
      </c>
      <c r="I49" s="119"/>
      <c r="J49" s="120">
        <f>D25</f>
        <v>500</v>
      </c>
      <c r="K49" s="121">
        <f t="shared" si="6"/>
        <v>500</v>
      </c>
      <c r="L49" s="68">
        <f t="shared" si="7"/>
        <v>4498.1941930606181</v>
      </c>
      <c r="M49" s="70">
        <f t="shared" si="1"/>
        <v>16862.613499122432</v>
      </c>
      <c r="N49" s="125">
        <f>NPV(D22,L38:L49)</f>
        <v>16862.613499122432</v>
      </c>
      <c r="O49" s="67">
        <f t="shared" si="0"/>
        <v>0</v>
      </c>
      <c r="P49" s="33">
        <f t="shared" si="2"/>
        <v>89.253467733225335</v>
      </c>
      <c r="Q49" s="33">
        <f t="shared" si="2"/>
        <v>0</v>
      </c>
      <c r="R49" s="43">
        <f t="shared" si="8"/>
        <v>55999.999999999993</v>
      </c>
      <c r="S49" s="21">
        <f>R49*D23*P49/1000+R49*(1-D23)*D24/1000</f>
        <v>4998.1941930606181</v>
      </c>
      <c r="T49" s="64">
        <v>11</v>
      </c>
      <c r="U49" s="66">
        <f t="shared" si="3"/>
        <v>81168.019284460621</v>
      </c>
      <c r="V49" s="66">
        <f>(V48+(D71+D72))</f>
        <v>67430</v>
      </c>
    </row>
    <row r="50" spans="1:22" ht="15.5" x14ac:dyDescent="0.35">
      <c r="A50" s="24">
        <v>12</v>
      </c>
      <c r="B50" s="33">
        <f>(1+D10)*B49</f>
        <v>90.146002410557585</v>
      </c>
      <c r="C50" s="24">
        <v>0</v>
      </c>
      <c r="D50" s="33">
        <f>(D13/1000*B50)+C50</f>
        <v>7211.6801928446066</v>
      </c>
      <c r="E50" s="117" t="str">
        <f t="shared" si="9"/>
        <v/>
      </c>
      <c r="F50" s="118" t="str">
        <f t="shared" si="4"/>
        <v/>
      </c>
      <c r="G50" s="321" t="str">
        <f t="shared" si="5"/>
        <v/>
      </c>
      <c r="H50" s="321" t="str">
        <f>IFERROR(ROUND(IF(E50="","",($H$38-SUM($F$38:F50))),2),"")</f>
        <v/>
      </c>
      <c r="I50" s="119"/>
      <c r="J50" s="120">
        <f>D25</f>
        <v>500</v>
      </c>
      <c r="K50" s="121">
        <f t="shared" si="6"/>
        <v>500</v>
      </c>
      <c r="L50" s="68">
        <f t="shared" si="7"/>
        <v>4548.176134991224</v>
      </c>
      <c r="M50" s="70">
        <f t="shared" si="1"/>
        <v>21410.789634113655</v>
      </c>
      <c r="N50" s="125">
        <f>NPV(D22,L38:L50)</f>
        <v>21410.789634113655</v>
      </c>
      <c r="O50" s="67">
        <f t="shared" si="0"/>
        <v>0</v>
      </c>
      <c r="P50" s="33">
        <f t="shared" si="2"/>
        <v>90.146002410557585</v>
      </c>
      <c r="Q50" s="33">
        <f t="shared" si="2"/>
        <v>0</v>
      </c>
      <c r="R50" s="43">
        <f t="shared" si="8"/>
        <v>55999.999999999993</v>
      </c>
      <c r="S50" s="21">
        <f>R50*D23*P50/1000+R50*(1-D23)*D24/1000</f>
        <v>5048.176134991224</v>
      </c>
      <c r="T50" s="64">
        <v>12</v>
      </c>
      <c r="U50" s="66">
        <f t="shared" si="3"/>
        <v>88379.699477305228</v>
      </c>
      <c r="V50" s="66">
        <f>(V49+(D71+D72))</f>
        <v>71310</v>
      </c>
    </row>
    <row r="51" spans="1:22" ht="15.5" x14ac:dyDescent="0.35">
      <c r="A51" s="24">
        <v>13</v>
      </c>
      <c r="B51" s="33">
        <f>(1+D10)*B50</f>
        <v>91.04746243466316</v>
      </c>
      <c r="C51" s="24">
        <v>0</v>
      </c>
      <c r="D51" s="33">
        <f>(D13/1000*B51)+C51</f>
        <v>7283.7969947730526</v>
      </c>
      <c r="E51" s="117" t="str">
        <f t="shared" si="9"/>
        <v/>
      </c>
      <c r="F51" s="118" t="str">
        <f t="shared" si="4"/>
        <v/>
      </c>
      <c r="G51" s="321" t="str">
        <f t="shared" si="5"/>
        <v/>
      </c>
      <c r="H51" s="321" t="str">
        <f>IFERROR(ROUND(IF(E51="","",($H$38-SUM($F$38:F51))),2),"")</f>
        <v/>
      </c>
      <c r="I51" s="119"/>
      <c r="J51" s="120">
        <f>D25</f>
        <v>500</v>
      </c>
      <c r="K51" s="121">
        <f t="shared" si="6"/>
        <v>500</v>
      </c>
      <c r="L51" s="68">
        <f t="shared" si="7"/>
        <v>4598.6578963411366</v>
      </c>
      <c r="M51" s="70">
        <f t="shared" si="1"/>
        <v>26009.447530454792</v>
      </c>
      <c r="N51" s="125">
        <f>NPV(D22,L38:L51)</f>
        <v>26009.447530454792</v>
      </c>
      <c r="O51" s="67">
        <f t="shared" si="0"/>
        <v>0</v>
      </c>
      <c r="P51" s="33">
        <f t="shared" si="2"/>
        <v>91.04746243466316</v>
      </c>
      <c r="Q51" s="33">
        <f t="shared" si="2"/>
        <v>0</v>
      </c>
      <c r="R51" s="43">
        <f t="shared" si="8"/>
        <v>55999.999999999993</v>
      </c>
      <c r="S51" s="21">
        <f>R51*D23*P51/1000+R51*(1-D23)*D24/1000</f>
        <v>5098.6578963411366</v>
      </c>
      <c r="T51" s="64">
        <v>13</v>
      </c>
      <c r="U51" s="66">
        <f t="shared" si="3"/>
        <v>95663.496472078288</v>
      </c>
      <c r="V51" s="66">
        <f>(V50+(D71+D72))</f>
        <v>75190</v>
      </c>
    </row>
    <row r="52" spans="1:22" ht="15.5" x14ac:dyDescent="0.35">
      <c r="A52" s="24">
        <v>14</v>
      </c>
      <c r="B52" s="33">
        <f>(1+D10)*B51</f>
        <v>91.957937059009794</v>
      </c>
      <c r="C52" s="24">
        <v>0</v>
      </c>
      <c r="D52" s="33">
        <f>(D13/1000*B52)+C52</f>
        <v>7356.6349647207835</v>
      </c>
      <c r="E52" s="117" t="str">
        <f t="shared" si="9"/>
        <v/>
      </c>
      <c r="F52" s="118" t="str">
        <f t="shared" si="4"/>
        <v/>
      </c>
      <c r="G52" s="321" t="str">
        <f t="shared" si="5"/>
        <v/>
      </c>
      <c r="H52" s="321" t="str">
        <f>IFERROR(ROUND(IF(E52="","",($H$38-SUM($F$38:F52))),2),"")</f>
        <v/>
      </c>
      <c r="I52" s="119"/>
      <c r="J52" s="120">
        <f>D25</f>
        <v>500</v>
      </c>
      <c r="K52" s="121">
        <f t="shared" si="6"/>
        <v>500</v>
      </c>
      <c r="L52" s="68">
        <f t="shared" si="7"/>
        <v>4649.644475304548</v>
      </c>
      <c r="M52" s="70">
        <f t="shared" si="1"/>
        <v>30659.092005759339</v>
      </c>
      <c r="N52" s="125">
        <f>NPV(D22,L38:L52)</f>
        <v>30659.092005759339</v>
      </c>
      <c r="O52" s="67">
        <f t="shared" si="0"/>
        <v>0</v>
      </c>
      <c r="P52" s="33">
        <f t="shared" si="2"/>
        <v>91.957937059009794</v>
      </c>
      <c r="Q52" s="33">
        <f t="shared" si="2"/>
        <v>0</v>
      </c>
      <c r="R52" s="43">
        <f t="shared" si="8"/>
        <v>55999.999999999993</v>
      </c>
      <c r="S52" s="21">
        <f>R52*D23*P52/1000+R52*(1-D23)*D24/1000</f>
        <v>5149.644475304548</v>
      </c>
      <c r="T52" s="64">
        <v>14</v>
      </c>
      <c r="U52" s="66">
        <f t="shared" si="3"/>
        <v>103020.13143679907</v>
      </c>
      <c r="V52" s="66">
        <f>(V51+(D71+D72))</f>
        <v>79070</v>
      </c>
    </row>
    <row r="53" spans="1:22" ht="15.5" x14ac:dyDescent="0.35">
      <c r="A53" s="24">
        <v>15</v>
      </c>
      <c r="B53" s="33">
        <f>(1+D10)*B52</f>
        <v>92.877516429599893</v>
      </c>
      <c r="C53" s="24">
        <v>0</v>
      </c>
      <c r="D53" s="33">
        <f>(D13/1000*B53)+C53</f>
        <v>7430.2013143679915</v>
      </c>
      <c r="E53" s="117" t="str">
        <f t="shared" si="9"/>
        <v/>
      </c>
      <c r="F53" s="118" t="str">
        <f t="shared" si="4"/>
        <v/>
      </c>
      <c r="G53" s="321" t="str">
        <f t="shared" si="5"/>
        <v/>
      </c>
      <c r="H53" s="321" t="str">
        <f>IFERROR(ROUND(IF(E53="","",($H$38-SUM($F$38:F53))),2),"")</f>
        <v/>
      </c>
      <c r="I53" s="119"/>
      <c r="J53" s="120">
        <f>D25</f>
        <v>500</v>
      </c>
      <c r="K53" s="121">
        <f t="shared" si="6"/>
        <v>500</v>
      </c>
      <c r="L53" s="68">
        <f t="shared" si="7"/>
        <v>4701.1409200575927</v>
      </c>
      <c r="M53" s="70">
        <f t="shared" si="1"/>
        <v>35360.232925816934</v>
      </c>
      <c r="N53" s="125">
        <f>NPV(D22,L38:L53)</f>
        <v>35360.232925816934</v>
      </c>
      <c r="O53" s="67">
        <f t="shared" si="0"/>
        <v>0</v>
      </c>
      <c r="P53" s="33">
        <f t="shared" si="2"/>
        <v>92.877516429599893</v>
      </c>
      <c r="Q53" s="33">
        <f t="shared" si="2"/>
        <v>0</v>
      </c>
      <c r="R53" s="43">
        <f t="shared" si="8"/>
        <v>55999.999999999993</v>
      </c>
      <c r="S53" s="21">
        <f>R53*D23*P53/1000+R53*(1-D23)*D24/1000</f>
        <v>5201.1409200575927</v>
      </c>
      <c r="T53" s="64">
        <v>15</v>
      </c>
      <c r="U53" s="66">
        <f t="shared" si="3"/>
        <v>110450.33275116706</v>
      </c>
      <c r="V53" s="66">
        <f>(V52+(D71+D72))</f>
        <v>82950</v>
      </c>
    </row>
    <row r="54" spans="1:22" ht="15.5" x14ac:dyDescent="0.35">
      <c r="A54" s="24">
        <v>16</v>
      </c>
      <c r="B54" s="33">
        <f>(1+D10)*B53</f>
        <v>93.806291593895892</v>
      </c>
      <c r="C54" s="24">
        <v>0</v>
      </c>
      <c r="D54" s="33">
        <f>(D13/1000*B54)+C54</f>
        <v>7504.5033275116712</v>
      </c>
      <c r="E54" s="117" t="str">
        <f t="shared" si="9"/>
        <v/>
      </c>
      <c r="F54" s="118" t="str">
        <f t="shared" si="4"/>
        <v/>
      </c>
      <c r="G54" s="321" t="str">
        <f t="shared" si="5"/>
        <v/>
      </c>
      <c r="H54" s="321" t="str">
        <f>IFERROR(ROUND(IF(E54="","",($H$38-SUM($F$38:F54))),2),"")</f>
        <v/>
      </c>
      <c r="I54" s="119"/>
      <c r="J54" s="120">
        <f>D25</f>
        <v>500</v>
      </c>
      <c r="K54" s="121">
        <f t="shared" si="6"/>
        <v>500</v>
      </c>
      <c r="L54" s="68">
        <f t="shared" si="7"/>
        <v>4753.1523292581687</v>
      </c>
      <c r="M54" s="70">
        <f t="shared" si="1"/>
        <v>40113.385255075103</v>
      </c>
      <c r="N54" s="125">
        <f>NPV(D22,L38:L54)</f>
        <v>40113.385255075103</v>
      </c>
      <c r="O54" s="67">
        <f t="shared" si="0"/>
        <v>0</v>
      </c>
      <c r="P54" s="33">
        <f t="shared" si="2"/>
        <v>93.806291593895892</v>
      </c>
      <c r="Q54" s="33">
        <f t="shared" si="2"/>
        <v>0</v>
      </c>
      <c r="R54" s="43">
        <f t="shared" si="8"/>
        <v>55999.999999999993</v>
      </c>
      <c r="S54" s="21">
        <f>R54*D23*P54/1000+R54*(1-D23)*D24/1000</f>
        <v>5253.1523292581687</v>
      </c>
      <c r="T54" s="64">
        <v>16</v>
      </c>
      <c r="U54" s="66">
        <f t="shared" si="3"/>
        <v>117954.83607867874</v>
      </c>
      <c r="V54" s="66">
        <f>(V53+(D71+D72))</f>
        <v>86830</v>
      </c>
    </row>
    <row r="55" spans="1:22" ht="15.5" x14ac:dyDescent="0.35">
      <c r="A55" s="24">
        <v>17</v>
      </c>
      <c r="B55" s="33">
        <f>(1+D10)*B54</f>
        <v>94.744354509834849</v>
      </c>
      <c r="C55" s="24">
        <v>0</v>
      </c>
      <c r="D55" s="33">
        <f>(D13/1000*B55)+C55</f>
        <v>7579.5483607867882</v>
      </c>
      <c r="E55" s="117" t="str">
        <f t="shared" si="9"/>
        <v/>
      </c>
      <c r="F55" s="118" t="str">
        <f t="shared" si="4"/>
        <v/>
      </c>
      <c r="G55" s="321" t="str">
        <f t="shared" si="5"/>
        <v/>
      </c>
      <c r="H55" s="321" t="str">
        <f>IFERROR(ROUND(IF(E55="","",($H$38-SUM($F$38:F55))),2),"")</f>
        <v/>
      </c>
      <c r="I55" s="119"/>
      <c r="J55" s="120">
        <f>D25</f>
        <v>500</v>
      </c>
      <c r="K55" s="121">
        <f t="shared" si="6"/>
        <v>500</v>
      </c>
      <c r="L55" s="68">
        <f t="shared" si="7"/>
        <v>4805.683852550751</v>
      </c>
      <c r="M55" s="70">
        <f t="shared" si="1"/>
        <v>44919.069107625852</v>
      </c>
      <c r="N55" s="125">
        <f>NPV(D22,L38:L55)</f>
        <v>44919.069107625852</v>
      </c>
      <c r="O55" s="67">
        <f t="shared" si="0"/>
        <v>0</v>
      </c>
      <c r="P55" s="33">
        <f t="shared" ref="P55:Q56" si="10">(1+$D$10)*P54</f>
        <v>94.744354509834849</v>
      </c>
      <c r="Q55" s="33">
        <f t="shared" si="10"/>
        <v>0</v>
      </c>
      <c r="R55" s="43">
        <f t="shared" si="8"/>
        <v>55999.999999999993</v>
      </c>
      <c r="S55" s="21">
        <f>R55*D23*P55/1000+R55*(1-D23)*D24/1000</f>
        <v>5305.683852550751</v>
      </c>
      <c r="T55" s="64">
        <v>17</v>
      </c>
      <c r="U55" s="66">
        <f t="shared" si="3"/>
        <v>125534.38443946553</v>
      </c>
      <c r="V55" s="66">
        <f>(V54+(D71+D72))</f>
        <v>90710</v>
      </c>
    </row>
    <row r="56" spans="1:22" ht="15.5" x14ac:dyDescent="0.35">
      <c r="A56" s="24">
        <v>18</v>
      </c>
      <c r="B56" s="33">
        <f>(1+D10)*B55</f>
        <v>95.691798054933201</v>
      </c>
      <c r="C56" s="24">
        <v>0</v>
      </c>
      <c r="D56" s="33">
        <f>(D13/1000*B56)+C56</f>
        <v>7655.3438443946561</v>
      </c>
      <c r="E56" s="117" t="str">
        <f t="shared" si="9"/>
        <v/>
      </c>
      <c r="F56" s="118" t="str">
        <f t="shared" si="4"/>
        <v/>
      </c>
      <c r="G56" s="321" t="str">
        <f t="shared" si="5"/>
        <v/>
      </c>
      <c r="H56" s="321" t="str">
        <f>IFERROR(ROUND(IF(E56="","",($H$38-SUM($F$38:F56))),2),"")</f>
        <v/>
      </c>
      <c r="I56" s="126"/>
      <c r="J56" s="127">
        <f>D25</f>
        <v>500</v>
      </c>
      <c r="K56" s="121">
        <f t="shared" si="6"/>
        <v>500</v>
      </c>
      <c r="L56" s="68">
        <f t="shared" si="7"/>
        <v>4858.7406910762584</v>
      </c>
      <c r="M56" s="70">
        <f t="shared" si="1"/>
        <v>49777.80979870211</v>
      </c>
      <c r="N56" s="125">
        <f>NPV(D22,L38:L56)</f>
        <v>49777.80979870211</v>
      </c>
      <c r="O56" s="67">
        <f t="shared" si="0"/>
        <v>0</v>
      </c>
      <c r="P56" s="33">
        <f t="shared" si="10"/>
        <v>95.691798054933201</v>
      </c>
      <c r="Q56" s="33">
        <f t="shared" si="10"/>
        <v>0</v>
      </c>
      <c r="R56" s="43">
        <f t="shared" si="8"/>
        <v>55999.999999999993</v>
      </c>
      <c r="S56" s="21">
        <f>R56*D23*P56/1000+R56*(1-D23)*D24/1000</f>
        <v>5358.7406910762584</v>
      </c>
      <c r="T56" s="64">
        <v>18</v>
      </c>
      <c r="U56" s="66">
        <f t="shared" si="3"/>
        <v>133189.7282838602</v>
      </c>
      <c r="V56" s="66">
        <f>(V55+(D71+D72))</f>
        <v>94590</v>
      </c>
    </row>
    <row r="57" spans="1:22" ht="15.5" x14ac:dyDescent="0.35">
      <c r="A57" s="24">
        <v>19</v>
      </c>
      <c r="B57" s="33">
        <f>(1+D10)*B56</f>
        <v>96.648716035482536</v>
      </c>
      <c r="C57" s="24">
        <v>0</v>
      </c>
      <c r="D57" s="33">
        <f>(D13/1000*B57)+C57</f>
        <v>7731.8972828386031</v>
      </c>
      <c r="E57" s="117" t="str">
        <f t="shared" si="9"/>
        <v/>
      </c>
      <c r="F57" s="118" t="str">
        <f t="shared" si="4"/>
        <v/>
      </c>
      <c r="G57" s="321" t="str">
        <f t="shared" si="5"/>
        <v/>
      </c>
      <c r="H57" s="321" t="str">
        <f>IFERROR(ROUND(IF(E57="","",($H$38-SUM($F$38:F57))),2),"")</f>
        <v/>
      </c>
      <c r="I57" s="126"/>
      <c r="J57" s="127">
        <f>D25</f>
        <v>500</v>
      </c>
      <c r="K57" s="121">
        <f t="shared" si="6"/>
        <v>500</v>
      </c>
      <c r="L57" s="68">
        <f t="shared" si="7"/>
        <v>4912.3280979870215</v>
      </c>
      <c r="M57" s="70">
        <f>M56+$L57</f>
        <v>54690.137896689135</v>
      </c>
      <c r="N57" s="125">
        <f>NPV(D22,L38:L57)</f>
        <v>54690.137896689135</v>
      </c>
      <c r="O57" s="67">
        <f t="shared" si="0"/>
        <v>0</v>
      </c>
      <c r="P57" s="33">
        <f>(1+$D$10)*P56</f>
        <v>96.648716035482536</v>
      </c>
      <c r="Q57" s="33">
        <f>(1+$D$10)*Q56</f>
        <v>0</v>
      </c>
      <c r="R57" s="43">
        <f t="shared" si="8"/>
        <v>55999.999999999993</v>
      </c>
      <c r="S57" s="21">
        <f>R57*$D$23*P57/1000+R57*(1-$D$23)*$D$24/1000</f>
        <v>5412.3280979870215</v>
      </c>
      <c r="T57" s="64">
        <v>19</v>
      </c>
      <c r="U57" s="66">
        <f t="shared" si="3"/>
        <v>140921.62556669879</v>
      </c>
      <c r="V57" s="66">
        <f>(V56+($D$71+$D$72))</f>
        <v>98470</v>
      </c>
    </row>
    <row r="58" spans="1:22" ht="15.5" x14ac:dyDescent="0.35">
      <c r="A58" s="24">
        <v>20</v>
      </c>
      <c r="B58" s="33">
        <f>(1+D10)*B57</f>
        <v>97.615203195837367</v>
      </c>
      <c r="C58" s="24">
        <v>0</v>
      </c>
      <c r="D58" s="33">
        <f>(D13/1000*B58)+C58</f>
        <v>7809.2162556669891</v>
      </c>
      <c r="E58" s="117" t="str">
        <f t="shared" si="9"/>
        <v/>
      </c>
      <c r="F58" s="118" t="str">
        <f t="shared" si="4"/>
        <v/>
      </c>
      <c r="G58" s="321" t="str">
        <f t="shared" si="5"/>
        <v/>
      </c>
      <c r="H58" s="321" t="str">
        <f>IFERROR(ROUND(IF(E58="","",($H$38-SUM($F$38:F58))),2),"")</f>
        <v/>
      </c>
      <c r="I58" s="126"/>
      <c r="J58" s="127">
        <f>D25</f>
        <v>500</v>
      </c>
      <c r="K58" s="121">
        <f t="shared" si="6"/>
        <v>500</v>
      </c>
      <c r="L58" s="68">
        <f t="shared" si="7"/>
        <v>4966.4513789668918</v>
      </c>
      <c r="M58" s="70">
        <f>M57+$L58</f>
        <v>59656.589275656028</v>
      </c>
      <c r="N58" s="125">
        <f>NPV(D22,L38:L58)</f>
        <v>59656.589275656028</v>
      </c>
      <c r="O58" s="67">
        <f t="shared" si="0"/>
        <v>0</v>
      </c>
      <c r="P58" s="33">
        <f>(1+$D$10)*P57</f>
        <v>97.615203195837367</v>
      </c>
      <c r="Q58" s="33">
        <f>(1+$D$10)*Q57</f>
        <v>0</v>
      </c>
      <c r="R58" s="43">
        <f t="shared" si="8"/>
        <v>55999.999999999993</v>
      </c>
      <c r="S58" s="21">
        <f>R58*$D$23*P58/1000+R58*(1-$D$23)*$D$24/1000</f>
        <v>5466.4513789668918</v>
      </c>
      <c r="T58" s="64">
        <v>20</v>
      </c>
      <c r="U58" s="66">
        <f t="shared" si="3"/>
        <v>148730.84182236576</v>
      </c>
      <c r="V58" s="66">
        <f>(V57+($D$71+$D$72))</f>
        <v>102350</v>
      </c>
    </row>
    <row r="59" spans="1:22" ht="15.5" x14ac:dyDescent="0.35">
      <c r="A59" s="12"/>
      <c r="B59" s="12"/>
      <c r="C59" s="12"/>
      <c r="D59" s="128">
        <f>SUM(D38:D58)</f>
        <v>148730.84182236576</v>
      </c>
      <c r="E59" s="129"/>
      <c r="F59" s="130" t="s">
        <v>4</v>
      </c>
      <c r="G59" s="56">
        <f>SUM(G38:G58)</f>
        <v>225</v>
      </c>
      <c r="H59" s="130"/>
      <c r="I59" s="130"/>
      <c r="J59" s="56">
        <f>SUM(J38:J58)</f>
        <v>10000</v>
      </c>
      <c r="K59" s="56">
        <f>SUM(K38:K58)</f>
        <v>39975</v>
      </c>
      <c r="L59" s="131"/>
      <c r="M59" s="34"/>
      <c r="O59" s="35">
        <f>SUM(O38:O58)</f>
        <v>7</v>
      </c>
      <c r="P59" s="36">
        <f>AVERAGE(P38:P58)</f>
        <v>88.530262989503427</v>
      </c>
      <c r="Q59" s="36">
        <f>AVERAGE(Q38:Q58)</f>
        <v>0</v>
      </c>
      <c r="R59" s="37">
        <f>SUM(R38:R58)</f>
        <v>1175999.9999999998</v>
      </c>
      <c r="S59" s="132">
        <f>NPV(S22,S38:S58)</f>
        <v>99631.589275656006</v>
      </c>
    </row>
    <row r="60" spans="1:22" ht="15.65" customHeight="1" x14ac:dyDescent="0.35">
      <c r="A60" s="8"/>
    </row>
    <row r="61" spans="1:22" ht="15.65" customHeight="1" x14ac:dyDescent="0.35">
      <c r="A61" s="8"/>
    </row>
    <row r="62" spans="1:22" ht="15.65" customHeight="1" x14ac:dyDescent="0.35">
      <c r="A62" s="8"/>
    </row>
    <row r="63" spans="1:22" ht="15.5" x14ac:dyDescent="0.35">
      <c r="A63" s="22" t="s">
        <v>76</v>
      </c>
      <c r="B63" s="12"/>
      <c r="C63" s="12"/>
      <c r="D63" s="12"/>
    </row>
    <row r="64" spans="1:22" ht="15.5" x14ac:dyDescent="0.35">
      <c r="A64" s="365" t="s">
        <v>77</v>
      </c>
      <c r="B64" s="366"/>
      <c r="C64" s="367"/>
      <c r="D64" s="19">
        <f>G105</f>
        <v>55999.999999999993</v>
      </c>
      <c r="E64" s="100" t="s">
        <v>27</v>
      </c>
      <c r="F64" s="100" t="s">
        <v>4</v>
      </c>
    </row>
    <row r="65" spans="1:6" ht="15.5" x14ac:dyDescent="0.35">
      <c r="A65" s="368" t="s">
        <v>78</v>
      </c>
      <c r="B65" s="369"/>
      <c r="C65" s="370"/>
      <c r="D65" s="98">
        <v>1</v>
      </c>
      <c r="F65" s="100" t="s">
        <v>79</v>
      </c>
    </row>
    <row r="66" spans="1:6" ht="15.5" x14ac:dyDescent="0.35">
      <c r="A66" s="365" t="s">
        <v>80</v>
      </c>
      <c r="B66" s="366"/>
      <c r="C66" s="367"/>
      <c r="D66" s="23">
        <f>(H105/G105)</f>
        <v>0</v>
      </c>
    </row>
    <row r="67" spans="1:6" ht="15.5" x14ac:dyDescent="0.35">
      <c r="A67" s="371" t="s">
        <v>81</v>
      </c>
      <c r="B67" s="372"/>
      <c r="C67" s="373"/>
      <c r="D67" s="284">
        <f>C105</f>
        <v>80000</v>
      </c>
      <c r="E67" s="100" t="s">
        <v>82</v>
      </c>
    </row>
    <row r="68" spans="1:6" ht="15.5" x14ac:dyDescent="0.35">
      <c r="A68" s="368" t="s">
        <v>84</v>
      </c>
      <c r="B68" s="338"/>
      <c r="C68" s="339"/>
      <c r="D68" s="285">
        <v>20</v>
      </c>
      <c r="E68" s="100" t="s">
        <v>85</v>
      </c>
      <c r="F68" s="100" t="s">
        <v>4</v>
      </c>
    </row>
    <row r="69" spans="1:6" ht="15.5" x14ac:dyDescent="0.35">
      <c r="A69" s="368" t="s">
        <v>86</v>
      </c>
      <c r="B69" s="338"/>
      <c r="C69" s="339"/>
      <c r="D69" s="286">
        <f>I105/C105</f>
        <v>0.7</v>
      </c>
      <c r="E69" s="100" t="s">
        <v>4</v>
      </c>
      <c r="F69" s="100" t="s">
        <v>4</v>
      </c>
    </row>
    <row r="70" spans="1:6" ht="15.5" x14ac:dyDescent="0.35">
      <c r="A70" s="374" t="s">
        <v>229</v>
      </c>
      <c r="B70" s="350"/>
      <c r="C70" s="358"/>
      <c r="D70" s="292">
        <f>D19-D19*D20</f>
        <v>29750</v>
      </c>
      <c r="F70" s="100" t="s">
        <v>232</v>
      </c>
    </row>
    <row r="71" spans="1:6" ht="15.5" x14ac:dyDescent="0.35">
      <c r="A71" s="375" t="s">
        <v>121</v>
      </c>
      <c r="B71" s="375"/>
      <c r="C71" s="375"/>
      <c r="D71" s="65">
        <f>(M105)*D28/100</f>
        <v>1959.9999999999998</v>
      </c>
    </row>
    <row r="72" spans="1:6" ht="15.5" x14ac:dyDescent="0.35">
      <c r="A72" s="380" t="s">
        <v>140</v>
      </c>
      <c r="B72" s="381"/>
      <c r="C72" s="382"/>
      <c r="D72" s="108">
        <f>(L105/1000*D9)</f>
        <v>1920</v>
      </c>
    </row>
    <row r="73" spans="1:6" ht="15.5" x14ac:dyDescent="0.35">
      <c r="A73" s="376" t="s">
        <v>108</v>
      </c>
      <c r="B73" s="376"/>
      <c r="C73" s="376"/>
      <c r="D73" s="45">
        <f>L105*D68</f>
        <v>480000</v>
      </c>
      <c r="E73" s="100" t="s">
        <v>27</v>
      </c>
    </row>
    <row r="74" spans="1:6" ht="15.5" x14ac:dyDescent="0.35">
      <c r="A74" s="376" t="s">
        <v>87</v>
      </c>
      <c r="B74" s="376"/>
      <c r="C74" s="376"/>
      <c r="D74" s="287">
        <f>(M105*D68)</f>
        <v>447999.99999999994</v>
      </c>
      <c r="E74" s="100" t="s">
        <v>27</v>
      </c>
      <c r="F74" s="100" t="s">
        <v>4</v>
      </c>
    </row>
    <row r="75" spans="1:6" x14ac:dyDescent="0.35">
      <c r="E75" s="100" t="s">
        <v>4</v>
      </c>
    </row>
    <row r="76" spans="1:6" ht="16" thickBot="1" x14ac:dyDescent="0.4">
      <c r="A76" s="25" t="s">
        <v>88</v>
      </c>
      <c r="B76" s="12"/>
      <c r="C76" s="12"/>
      <c r="D76" s="12"/>
      <c r="E76" s="100" t="s">
        <v>4</v>
      </c>
      <c r="F76" s="100" t="s">
        <v>4</v>
      </c>
    </row>
    <row r="77" spans="1:6" ht="15.5" x14ac:dyDescent="0.35">
      <c r="A77" s="377" t="s">
        <v>89</v>
      </c>
      <c r="B77" s="378"/>
      <c r="C77" s="379"/>
      <c r="D77" s="26">
        <f>N58</f>
        <v>59656.589275656028</v>
      </c>
    </row>
    <row r="78" spans="1:6" ht="15.5" x14ac:dyDescent="0.35">
      <c r="A78" s="364" t="s">
        <v>90</v>
      </c>
      <c r="B78" s="338"/>
      <c r="C78" s="339"/>
      <c r="D78" s="27">
        <f>O59</f>
        <v>7</v>
      </c>
    </row>
    <row r="79" spans="1:6" ht="15.5" x14ac:dyDescent="0.35">
      <c r="A79" s="364" t="s">
        <v>107</v>
      </c>
      <c r="B79" s="338"/>
      <c r="C79" s="339"/>
      <c r="D79" s="28">
        <f>D70/J105</f>
        <v>6.6406249999999982</v>
      </c>
    </row>
    <row r="80" spans="1:6" ht="15.5" x14ac:dyDescent="0.35">
      <c r="A80" s="364" t="s">
        <v>38</v>
      </c>
      <c r="B80" s="385"/>
      <c r="C80" s="386"/>
      <c r="D80" s="29">
        <f>IRR(L38:L58,0.1)</f>
        <v>0.14033015853531738</v>
      </c>
      <c r="E80" s="100" t="s">
        <v>4</v>
      </c>
      <c r="F80" s="100" t="s">
        <v>4</v>
      </c>
    </row>
    <row r="81" spans="1:13" ht="16" thickBot="1" x14ac:dyDescent="0.4">
      <c r="A81" s="387" t="s">
        <v>152</v>
      </c>
      <c r="B81" s="388"/>
      <c r="C81" s="389"/>
      <c r="D81" s="30">
        <f>K59/R59*1000</f>
        <v>33.992346938775512</v>
      </c>
      <c r="E81" s="100" t="s">
        <v>47</v>
      </c>
    </row>
    <row r="83" spans="1:13" x14ac:dyDescent="0.35">
      <c r="A83" s="31" t="s">
        <v>91</v>
      </c>
    </row>
    <row r="84" spans="1:13" ht="15.5" x14ac:dyDescent="0.35">
      <c r="A84" s="390" t="s">
        <v>92</v>
      </c>
      <c r="B84" s="390"/>
      <c r="C84" s="390"/>
      <c r="D84" s="288">
        <v>84</v>
      </c>
      <c r="E84" s="100" t="s">
        <v>93</v>
      </c>
      <c r="F84" s="100" t="s">
        <v>4</v>
      </c>
      <c r="G84" s="100" t="s">
        <v>6</v>
      </c>
      <c r="H84" s="100">
        <v>2024</v>
      </c>
      <c r="I84" s="10" t="s">
        <v>270</v>
      </c>
    </row>
    <row r="85" spans="1:13" ht="15.5" x14ac:dyDescent="0.35">
      <c r="A85" s="390" t="s">
        <v>95</v>
      </c>
      <c r="B85" s="390"/>
      <c r="C85" s="390"/>
      <c r="D85" s="288">
        <v>106</v>
      </c>
      <c r="E85" s="100" t="s">
        <v>93</v>
      </c>
      <c r="G85" s="100" t="s">
        <v>6</v>
      </c>
      <c r="H85" s="100">
        <v>2024</v>
      </c>
      <c r="I85" s="10" t="s">
        <v>270</v>
      </c>
    </row>
    <row r="86" spans="1:13" ht="15.5" x14ac:dyDescent="0.35">
      <c r="A86" s="390" t="s">
        <v>96</v>
      </c>
      <c r="B86" s="390"/>
      <c r="C86" s="390"/>
      <c r="D86" s="289">
        <v>261.72000000000003</v>
      </c>
      <c r="E86" s="100" t="s">
        <v>93</v>
      </c>
      <c r="G86" s="100" t="s">
        <v>6</v>
      </c>
      <c r="H86" s="100">
        <v>2019</v>
      </c>
      <c r="I86" s="10" t="s">
        <v>94</v>
      </c>
    </row>
    <row r="87" spans="1:13" ht="15.5" x14ac:dyDescent="0.35">
      <c r="A87" s="390" t="s">
        <v>97</v>
      </c>
      <c r="B87" s="390"/>
      <c r="C87" s="390"/>
      <c r="D87" s="290">
        <f>(G105*D86)/1000</f>
        <v>14656.32</v>
      </c>
      <c r="E87" s="100" t="s">
        <v>98</v>
      </c>
      <c r="F87" s="100" t="s">
        <v>4</v>
      </c>
    </row>
    <row r="88" spans="1:13" ht="15.5" x14ac:dyDescent="0.35">
      <c r="A88" s="390" t="s">
        <v>120</v>
      </c>
      <c r="B88" s="390"/>
      <c r="C88" s="390"/>
      <c r="D88" s="290">
        <f>(G105*D86)/1000-(M105*D84)/1000</f>
        <v>12774.72</v>
      </c>
      <c r="E88" s="100" t="s">
        <v>98</v>
      </c>
      <c r="G88" s="253" t="s">
        <v>271</v>
      </c>
      <c r="H88" s="253"/>
      <c r="I88" s="10" t="s">
        <v>272</v>
      </c>
    </row>
    <row r="89" spans="1:13" x14ac:dyDescent="0.35">
      <c r="A89" s="57"/>
      <c r="B89" s="57"/>
      <c r="C89" s="57"/>
      <c r="D89" s="57"/>
    </row>
    <row r="90" spans="1:13" x14ac:dyDescent="0.35">
      <c r="A90" s="8" t="s">
        <v>50</v>
      </c>
    </row>
    <row r="91" spans="1:13" x14ac:dyDescent="0.35">
      <c r="A91" s="9" t="s">
        <v>51</v>
      </c>
    </row>
    <row r="92" spans="1:13" ht="87" x14ac:dyDescent="0.35">
      <c r="A92" s="12"/>
      <c r="B92" s="12"/>
      <c r="C92" s="134" t="s">
        <v>52</v>
      </c>
      <c r="D92" s="13" t="s">
        <v>53</v>
      </c>
      <c r="E92" s="13" t="s">
        <v>54</v>
      </c>
      <c r="G92" s="13" t="s">
        <v>55</v>
      </c>
      <c r="H92" s="13" t="s">
        <v>56</v>
      </c>
      <c r="I92" s="13" t="s">
        <v>57</v>
      </c>
      <c r="J92" s="13" t="s">
        <v>58</v>
      </c>
      <c r="K92" s="13" t="s">
        <v>59</v>
      </c>
      <c r="L92" s="14" t="s">
        <v>60</v>
      </c>
      <c r="M92" s="15" t="s">
        <v>61</v>
      </c>
    </row>
    <row r="93" spans="1:13" ht="15.5" x14ac:dyDescent="0.35">
      <c r="A93" s="383" t="s">
        <v>62</v>
      </c>
      <c r="B93" s="384"/>
      <c r="C93" s="135">
        <f>$D$13/12</f>
        <v>6666.666666666667</v>
      </c>
      <c r="D93" s="133">
        <f t="shared" ref="D93:D104" si="11">$D$106</f>
        <v>80</v>
      </c>
      <c r="E93" s="63">
        <f t="shared" ref="E93:E104" si="12">$D$24</f>
        <v>0</v>
      </c>
      <c r="G93" s="17">
        <f>(D26/12)</f>
        <v>4666.666666666667</v>
      </c>
      <c r="H93" s="18">
        <f t="shared" ref="H93:H104" si="13">IF(G93-C93&lt;0,0,G93-C93)</f>
        <v>0</v>
      </c>
      <c r="I93" s="19">
        <f t="shared" ref="I93:I104" si="14">G93-H93</f>
        <v>4666.666666666667</v>
      </c>
      <c r="J93" s="18">
        <f t="shared" ref="J93:J104" si="15">I93/1000*D93</f>
        <v>373.33333333333337</v>
      </c>
      <c r="K93" s="18">
        <f t="shared" ref="K93:K104" si="16">E93*H93/100</f>
        <v>0</v>
      </c>
      <c r="L93" s="43">
        <f t="shared" ref="L93:L104" si="17">C93-I93</f>
        <v>2000</v>
      </c>
      <c r="M93" s="55">
        <f>(G93/D18)</f>
        <v>1866.6666666666667</v>
      </c>
    </row>
    <row r="94" spans="1:13" ht="15.5" x14ac:dyDescent="0.35">
      <c r="A94" s="383" t="s">
        <v>63</v>
      </c>
      <c r="B94" s="384"/>
      <c r="C94" s="135">
        <f t="shared" ref="C94:C104" si="18">$D$13/12</f>
        <v>6666.666666666667</v>
      </c>
      <c r="D94" s="133">
        <f t="shared" si="11"/>
        <v>80</v>
      </c>
      <c r="E94" s="63">
        <f t="shared" si="12"/>
        <v>0</v>
      </c>
      <c r="G94" s="17">
        <f>(D26/12)</f>
        <v>4666.666666666667</v>
      </c>
      <c r="H94" s="18">
        <f t="shared" si="13"/>
        <v>0</v>
      </c>
      <c r="I94" s="19">
        <f t="shared" si="14"/>
        <v>4666.666666666667</v>
      </c>
      <c r="J94" s="18">
        <f t="shared" si="15"/>
        <v>373.33333333333337</v>
      </c>
      <c r="K94" s="18">
        <f t="shared" si="16"/>
        <v>0</v>
      </c>
      <c r="L94" s="43">
        <f t="shared" si="17"/>
        <v>2000</v>
      </c>
      <c r="M94" s="55">
        <f>(G94/D18)</f>
        <v>1866.6666666666667</v>
      </c>
    </row>
    <row r="95" spans="1:13" ht="15.5" x14ac:dyDescent="0.35">
      <c r="A95" s="383" t="s">
        <v>64</v>
      </c>
      <c r="B95" s="384"/>
      <c r="C95" s="135">
        <f t="shared" si="18"/>
        <v>6666.666666666667</v>
      </c>
      <c r="D95" s="133">
        <f t="shared" si="11"/>
        <v>80</v>
      </c>
      <c r="E95" s="63">
        <f t="shared" si="12"/>
        <v>0</v>
      </c>
      <c r="G95" s="17">
        <f>(D26/12)</f>
        <v>4666.666666666667</v>
      </c>
      <c r="H95" s="18">
        <f t="shared" si="13"/>
        <v>0</v>
      </c>
      <c r="I95" s="19">
        <f t="shared" si="14"/>
        <v>4666.666666666667</v>
      </c>
      <c r="J95" s="18">
        <f t="shared" si="15"/>
        <v>373.33333333333337</v>
      </c>
      <c r="K95" s="18">
        <f t="shared" si="16"/>
        <v>0</v>
      </c>
      <c r="L95" s="43">
        <f t="shared" si="17"/>
        <v>2000</v>
      </c>
      <c r="M95" s="55">
        <f>(G95/D18)</f>
        <v>1866.6666666666667</v>
      </c>
    </row>
    <row r="96" spans="1:13" ht="15.5" x14ac:dyDescent="0.35">
      <c r="A96" s="383" t="s">
        <v>65</v>
      </c>
      <c r="B96" s="384"/>
      <c r="C96" s="135">
        <f t="shared" si="18"/>
        <v>6666.666666666667</v>
      </c>
      <c r="D96" s="133">
        <f t="shared" si="11"/>
        <v>80</v>
      </c>
      <c r="E96" s="63">
        <f t="shared" si="12"/>
        <v>0</v>
      </c>
      <c r="G96" s="17">
        <f>(D26/12)</f>
        <v>4666.666666666667</v>
      </c>
      <c r="H96" s="18">
        <f t="shared" si="13"/>
        <v>0</v>
      </c>
      <c r="I96" s="19">
        <f t="shared" si="14"/>
        <v>4666.666666666667</v>
      </c>
      <c r="J96" s="18">
        <f t="shared" si="15"/>
        <v>373.33333333333337</v>
      </c>
      <c r="K96" s="18">
        <f t="shared" si="16"/>
        <v>0</v>
      </c>
      <c r="L96" s="43">
        <f t="shared" si="17"/>
        <v>2000</v>
      </c>
      <c r="M96" s="55">
        <f>(G96/D18)</f>
        <v>1866.6666666666667</v>
      </c>
    </row>
    <row r="97" spans="1:13" ht="15.5" x14ac:dyDescent="0.35">
      <c r="A97" s="383" t="s">
        <v>66</v>
      </c>
      <c r="B97" s="384"/>
      <c r="C97" s="135">
        <f t="shared" si="18"/>
        <v>6666.666666666667</v>
      </c>
      <c r="D97" s="133">
        <f t="shared" si="11"/>
        <v>80</v>
      </c>
      <c r="E97" s="63">
        <f t="shared" si="12"/>
        <v>0</v>
      </c>
      <c r="G97" s="17">
        <f>(D26/12)</f>
        <v>4666.666666666667</v>
      </c>
      <c r="H97" s="18">
        <f t="shared" si="13"/>
        <v>0</v>
      </c>
      <c r="I97" s="19">
        <f t="shared" si="14"/>
        <v>4666.666666666667</v>
      </c>
      <c r="J97" s="18">
        <f t="shared" si="15"/>
        <v>373.33333333333337</v>
      </c>
      <c r="K97" s="18">
        <f t="shared" si="16"/>
        <v>0</v>
      </c>
      <c r="L97" s="43">
        <f t="shared" si="17"/>
        <v>2000</v>
      </c>
      <c r="M97" s="55">
        <f>(G97/D18)</f>
        <v>1866.6666666666667</v>
      </c>
    </row>
    <row r="98" spans="1:13" ht="15.5" x14ac:dyDescent="0.35">
      <c r="A98" s="383" t="s">
        <v>67</v>
      </c>
      <c r="B98" s="384"/>
      <c r="C98" s="135">
        <f t="shared" si="18"/>
        <v>6666.666666666667</v>
      </c>
      <c r="D98" s="133">
        <f t="shared" si="11"/>
        <v>80</v>
      </c>
      <c r="E98" s="63">
        <f t="shared" si="12"/>
        <v>0</v>
      </c>
      <c r="G98" s="17">
        <f>(D26/12)</f>
        <v>4666.666666666667</v>
      </c>
      <c r="H98" s="18">
        <f t="shared" si="13"/>
        <v>0</v>
      </c>
      <c r="I98" s="19">
        <f t="shared" si="14"/>
        <v>4666.666666666667</v>
      </c>
      <c r="J98" s="18">
        <f t="shared" si="15"/>
        <v>373.33333333333337</v>
      </c>
      <c r="K98" s="18">
        <f t="shared" si="16"/>
        <v>0</v>
      </c>
      <c r="L98" s="43">
        <f t="shared" si="17"/>
        <v>2000</v>
      </c>
      <c r="M98" s="55">
        <f>(G98/D18)</f>
        <v>1866.6666666666667</v>
      </c>
    </row>
    <row r="99" spans="1:13" ht="15.5" x14ac:dyDescent="0.35">
      <c r="A99" s="383" t="s">
        <v>68</v>
      </c>
      <c r="B99" s="384"/>
      <c r="C99" s="135">
        <f t="shared" si="18"/>
        <v>6666.666666666667</v>
      </c>
      <c r="D99" s="133">
        <f t="shared" si="11"/>
        <v>80</v>
      </c>
      <c r="E99" s="63">
        <f t="shared" si="12"/>
        <v>0</v>
      </c>
      <c r="G99" s="17">
        <f>(D26/12)</f>
        <v>4666.666666666667</v>
      </c>
      <c r="H99" s="18">
        <f t="shared" si="13"/>
        <v>0</v>
      </c>
      <c r="I99" s="19">
        <f t="shared" si="14"/>
        <v>4666.666666666667</v>
      </c>
      <c r="J99" s="18">
        <f t="shared" si="15"/>
        <v>373.33333333333337</v>
      </c>
      <c r="K99" s="18">
        <f t="shared" si="16"/>
        <v>0</v>
      </c>
      <c r="L99" s="43">
        <f t="shared" si="17"/>
        <v>2000</v>
      </c>
      <c r="M99" s="55">
        <f>(G99/D18)</f>
        <v>1866.6666666666667</v>
      </c>
    </row>
    <row r="100" spans="1:13" ht="15.5" x14ac:dyDescent="0.35">
      <c r="A100" s="383" t="s">
        <v>69</v>
      </c>
      <c r="B100" s="384"/>
      <c r="C100" s="135">
        <f t="shared" si="18"/>
        <v>6666.666666666667</v>
      </c>
      <c r="D100" s="133">
        <f t="shared" si="11"/>
        <v>80</v>
      </c>
      <c r="E100" s="63">
        <f t="shared" si="12"/>
        <v>0</v>
      </c>
      <c r="G100" s="17">
        <f>(D26/12)</f>
        <v>4666.666666666667</v>
      </c>
      <c r="H100" s="18">
        <f t="shared" si="13"/>
        <v>0</v>
      </c>
      <c r="I100" s="19">
        <f t="shared" si="14"/>
        <v>4666.666666666667</v>
      </c>
      <c r="J100" s="18">
        <f t="shared" si="15"/>
        <v>373.33333333333337</v>
      </c>
      <c r="K100" s="18">
        <f t="shared" si="16"/>
        <v>0</v>
      </c>
      <c r="L100" s="43">
        <f t="shared" si="17"/>
        <v>2000</v>
      </c>
      <c r="M100" s="55">
        <f>(G100/D18)</f>
        <v>1866.6666666666667</v>
      </c>
    </row>
    <row r="101" spans="1:13" ht="15.5" x14ac:dyDescent="0.35">
      <c r="A101" s="383" t="s">
        <v>70</v>
      </c>
      <c r="B101" s="384"/>
      <c r="C101" s="135">
        <f t="shared" si="18"/>
        <v>6666.666666666667</v>
      </c>
      <c r="D101" s="133">
        <f t="shared" si="11"/>
        <v>80</v>
      </c>
      <c r="E101" s="63">
        <f t="shared" si="12"/>
        <v>0</v>
      </c>
      <c r="G101" s="17">
        <f>(D26/12)</f>
        <v>4666.666666666667</v>
      </c>
      <c r="H101" s="18">
        <f t="shared" si="13"/>
        <v>0</v>
      </c>
      <c r="I101" s="19">
        <f t="shared" si="14"/>
        <v>4666.666666666667</v>
      </c>
      <c r="J101" s="18">
        <f t="shared" si="15"/>
        <v>373.33333333333337</v>
      </c>
      <c r="K101" s="18">
        <f t="shared" si="16"/>
        <v>0</v>
      </c>
      <c r="L101" s="43">
        <f t="shared" si="17"/>
        <v>2000</v>
      </c>
      <c r="M101" s="55">
        <f>(G101/D18)</f>
        <v>1866.6666666666667</v>
      </c>
    </row>
    <row r="102" spans="1:13" ht="15.5" x14ac:dyDescent="0.35">
      <c r="A102" s="383" t="s">
        <v>71</v>
      </c>
      <c r="B102" s="384"/>
      <c r="C102" s="135">
        <f t="shared" si="18"/>
        <v>6666.666666666667</v>
      </c>
      <c r="D102" s="133">
        <f t="shared" si="11"/>
        <v>80</v>
      </c>
      <c r="E102" s="63">
        <f t="shared" si="12"/>
        <v>0</v>
      </c>
      <c r="G102" s="17">
        <f>(D26/12)</f>
        <v>4666.666666666667</v>
      </c>
      <c r="H102" s="18">
        <f t="shared" si="13"/>
        <v>0</v>
      </c>
      <c r="I102" s="19">
        <f t="shared" si="14"/>
        <v>4666.666666666667</v>
      </c>
      <c r="J102" s="18">
        <f t="shared" si="15"/>
        <v>373.33333333333337</v>
      </c>
      <c r="K102" s="18">
        <f t="shared" si="16"/>
        <v>0</v>
      </c>
      <c r="L102" s="43">
        <f t="shared" si="17"/>
        <v>2000</v>
      </c>
      <c r="M102" s="55">
        <f>(G102/D18)</f>
        <v>1866.6666666666667</v>
      </c>
    </row>
    <row r="103" spans="1:13" ht="15.5" x14ac:dyDescent="0.35">
      <c r="A103" s="383" t="s">
        <v>72</v>
      </c>
      <c r="B103" s="384"/>
      <c r="C103" s="135">
        <f t="shared" si="18"/>
        <v>6666.666666666667</v>
      </c>
      <c r="D103" s="133">
        <f t="shared" si="11"/>
        <v>80</v>
      </c>
      <c r="E103" s="63">
        <f t="shared" si="12"/>
        <v>0</v>
      </c>
      <c r="G103" s="17">
        <f>(D26/12)</f>
        <v>4666.666666666667</v>
      </c>
      <c r="H103" s="18">
        <f t="shared" si="13"/>
        <v>0</v>
      </c>
      <c r="I103" s="19">
        <f t="shared" si="14"/>
        <v>4666.666666666667</v>
      </c>
      <c r="J103" s="18">
        <f t="shared" si="15"/>
        <v>373.33333333333337</v>
      </c>
      <c r="K103" s="18">
        <f t="shared" si="16"/>
        <v>0</v>
      </c>
      <c r="L103" s="43">
        <f t="shared" si="17"/>
        <v>2000</v>
      </c>
      <c r="M103" s="55">
        <f>(G103/D18)</f>
        <v>1866.6666666666667</v>
      </c>
    </row>
    <row r="104" spans="1:13" ht="15.5" x14ac:dyDescent="0.35">
      <c r="A104" s="383" t="s">
        <v>73</v>
      </c>
      <c r="B104" s="384"/>
      <c r="C104" s="135">
        <f t="shared" si="18"/>
        <v>6666.666666666667</v>
      </c>
      <c r="D104" s="133">
        <f t="shared" si="11"/>
        <v>80</v>
      </c>
      <c r="E104" s="63">
        <f t="shared" si="12"/>
        <v>0</v>
      </c>
      <c r="G104" s="17">
        <f>(D26/12)</f>
        <v>4666.666666666667</v>
      </c>
      <c r="H104" s="18">
        <f t="shared" si="13"/>
        <v>0</v>
      </c>
      <c r="I104" s="19">
        <f t="shared" si="14"/>
        <v>4666.666666666667</v>
      </c>
      <c r="J104" s="18">
        <f t="shared" si="15"/>
        <v>373.33333333333337</v>
      </c>
      <c r="K104" s="18">
        <f t="shared" si="16"/>
        <v>0</v>
      </c>
      <c r="L104" s="43">
        <f t="shared" si="17"/>
        <v>2000</v>
      </c>
      <c r="M104" s="55">
        <f>(G104/D18)</f>
        <v>1866.6666666666667</v>
      </c>
    </row>
    <row r="105" spans="1:13" ht="15.5" x14ac:dyDescent="0.35">
      <c r="A105" s="391" t="s">
        <v>74</v>
      </c>
      <c r="B105" s="392"/>
      <c r="C105" s="20">
        <f>SUM(C93:C104)</f>
        <v>80000</v>
      </c>
      <c r="D105" s="12"/>
      <c r="E105" s="12"/>
      <c r="G105" s="18">
        <f t="shared" ref="G105:L105" si="19">SUM(G93:G104)</f>
        <v>55999.999999999993</v>
      </c>
      <c r="H105" s="18">
        <f t="shared" si="19"/>
        <v>0</v>
      </c>
      <c r="I105" s="19">
        <f t="shared" si="19"/>
        <v>55999.999999999993</v>
      </c>
      <c r="J105" s="21">
        <f t="shared" si="19"/>
        <v>4480.0000000000009</v>
      </c>
      <c r="K105" s="18">
        <f t="shared" si="19"/>
        <v>0</v>
      </c>
      <c r="L105" s="43">
        <f t="shared" si="19"/>
        <v>24000</v>
      </c>
      <c r="M105" s="99">
        <f t="shared" ref="M105" si="20">(G105/2.5)</f>
        <v>22399.999999999996</v>
      </c>
    </row>
    <row r="106" spans="1:13" ht="15.5" x14ac:dyDescent="0.35">
      <c r="A106" s="391" t="s">
        <v>75</v>
      </c>
      <c r="B106" s="393"/>
      <c r="C106" s="12"/>
      <c r="D106" s="16">
        <f>D9</f>
        <v>80</v>
      </c>
      <c r="E106" s="16">
        <f>D24</f>
        <v>0</v>
      </c>
    </row>
    <row r="108" spans="1:13" x14ac:dyDescent="0.35">
      <c r="E108" s="100" t="s">
        <v>4</v>
      </c>
    </row>
  </sheetData>
  <mergeCells count="56">
    <mergeCell ref="A103:B103"/>
    <mergeCell ref="A104:B104"/>
    <mergeCell ref="A105:B105"/>
    <mergeCell ref="A106:B106"/>
    <mergeCell ref="A97:B97"/>
    <mergeCell ref="A98:B98"/>
    <mergeCell ref="A99:B99"/>
    <mergeCell ref="A100:B100"/>
    <mergeCell ref="A101:B101"/>
    <mergeCell ref="A102:B102"/>
    <mergeCell ref="A96:B96"/>
    <mergeCell ref="A79:C79"/>
    <mergeCell ref="A80:C80"/>
    <mergeCell ref="A81:C81"/>
    <mergeCell ref="A84:C84"/>
    <mergeCell ref="A85:C85"/>
    <mergeCell ref="A86:C86"/>
    <mergeCell ref="A87:C87"/>
    <mergeCell ref="A88:C88"/>
    <mergeCell ref="A93:B93"/>
    <mergeCell ref="A94:B94"/>
    <mergeCell ref="A95:B95"/>
    <mergeCell ref="A78:C78"/>
    <mergeCell ref="A64:C64"/>
    <mergeCell ref="A65:C65"/>
    <mergeCell ref="A66:C66"/>
    <mergeCell ref="A67:C67"/>
    <mergeCell ref="A68:C68"/>
    <mergeCell ref="A69:C69"/>
    <mergeCell ref="A70:C70"/>
    <mergeCell ref="A71:C71"/>
    <mergeCell ref="A73:C73"/>
    <mergeCell ref="A74:C74"/>
    <mergeCell ref="A77:C77"/>
    <mergeCell ref="A72:C72"/>
    <mergeCell ref="A31:C31"/>
    <mergeCell ref="A20:C20"/>
    <mergeCell ref="A21:C21"/>
    <mergeCell ref="A22:C22"/>
    <mergeCell ref="A23:C23"/>
    <mergeCell ref="A24:C24"/>
    <mergeCell ref="A25:C25"/>
    <mergeCell ref="A26:C26"/>
    <mergeCell ref="A27:C27"/>
    <mergeCell ref="A28:C28"/>
    <mergeCell ref="A29:C29"/>
    <mergeCell ref="A30:C30"/>
    <mergeCell ref="A19:C19"/>
    <mergeCell ref="A1:L1"/>
    <mergeCell ref="A9:C9"/>
    <mergeCell ref="A10:C10"/>
    <mergeCell ref="A11:C11"/>
    <mergeCell ref="A18:C18"/>
    <mergeCell ref="A12:C12"/>
    <mergeCell ref="A13:C13"/>
    <mergeCell ref="A14:C14"/>
  </mergeCells>
  <conditionalFormatting sqref="M38 M39:N58">
    <cfRule type="cellIs" dxfId="1" priority="1" operator="greaterThan">
      <formula>1</formula>
    </cfRule>
  </conditionalFormatting>
  <conditionalFormatting sqref="M38:M58">
    <cfRule type="colorScale" priority="3">
      <colorScale>
        <cfvo type="min"/>
        <cfvo type="percentile" val="50"/>
        <cfvo type="max"/>
        <color rgb="FFF8696B"/>
        <color rgb="FFFCFCFF"/>
        <color rgb="FF63BE7B"/>
      </colorScale>
    </cfRule>
  </conditionalFormatting>
  <conditionalFormatting sqref="N39:N58">
    <cfRule type="colorScale" priority="2">
      <colorScale>
        <cfvo type="min"/>
        <cfvo type="percentile" val="50"/>
        <cfvo type="max"/>
        <color rgb="FFF8696B"/>
        <color rgb="FFFCFCFF"/>
        <color rgb="FF63BE7B"/>
      </colorScale>
    </cfRule>
  </conditionalFormatting>
  <hyperlinks>
    <hyperlink ref="I10" r:id="rId1" xr:uid="{D959F02B-D383-4892-86D6-BC2281A1E36D}"/>
    <hyperlink ref="I21" r:id="rId2" display="www.vero.fi" xr:uid="{7D8998D5-A44F-4606-B5FA-33D0277A30D7}"/>
    <hyperlink ref="K21" r:id="rId3" display="www.businessfinland.fi" xr:uid="{11DDAFF0-FCAB-456F-B7FA-75361107600C}"/>
    <hyperlink ref="N21" r:id="rId4" display="www.ara.fi" xr:uid="{A1617914-626C-4D83-AD33-4437EE2CD912}"/>
    <hyperlink ref="I19" r:id="rId5" display="www.sulpu.fi" xr:uid="{24380236-4559-4262-A60B-13EFBB438B29}"/>
    <hyperlink ref="H20" r:id="rId6" xr:uid="{8B6DC3B0-8C9D-459A-BCDD-F87C775FAC41}"/>
    <hyperlink ref="I20" r:id="rId7" xr:uid="{55F86D38-3F4B-4A9A-9F48-4313B8437D2E}"/>
    <hyperlink ref="K20" r:id="rId8" xr:uid="{04FC5E83-361F-4848-A251-2CE7D454A20A}"/>
    <hyperlink ref="I86" r:id="rId9" xr:uid="{8DA2D0AE-8028-493F-8EE2-D996EFD5AA2A}"/>
    <hyperlink ref="I88" r:id="rId10" xr:uid="{25813ED0-BE4D-4CD0-A640-2B3730E5D127}"/>
    <hyperlink ref="I84" r:id="rId11" xr:uid="{752D0A90-0714-4044-B573-01779DABA27B}"/>
    <hyperlink ref="I85" r:id="rId12" xr:uid="{E6273E9B-533F-423B-BC5E-24D4A8EED3F5}"/>
  </hyperlinks>
  <pageMargins left="0.7" right="0.7" top="0.75" bottom="0.75" header="0.3" footer="0.3"/>
  <pageSetup paperSize="9" orientation="portrait" r:id="rId13"/>
  <drawing r:id="rId14"/>
  <legacyDrawing r:id="rId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78A0-57C1-4238-AB54-67F3C977A779}">
  <sheetPr>
    <tabColor rgb="FFFFC000"/>
  </sheetPr>
  <dimension ref="A1:V113"/>
  <sheetViews>
    <sheetView zoomScale="80" zoomScaleNormal="80" workbookViewId="0">
      <selection activeCell="I90" sqref="I90"/>
    </sheetView>
  </sheetViews>
  <sheetFormatPr defaultRowHeight="14.5" x14ac:dyDescent="0.35"/>
  <cols>
    <col min="1" max="1" width="52" customWidth="1"/>
    <col min="2" max="3" width="10.453125" customWidth="1"/>
    <col min="4" max="4" width="11.54296875" customWidth="1"/>
    <col min="5" max="5" width="10.1796875" bestFit="1" customWidth="1"/>
    <col min="6" max="6" width="11.1796875" customWidth="1"/>
    <col min="8" max="8" width="10.81640625" bestFit="1" customWidth="1"/>
    <col min="9" max="9" width="11.26953125" bestFit="1" customWidth="1"/>
    <col min="10" max="10" width="11.81640625" bestFit="1" customWidth="1"/>
    <col min="11" max="14" width="11.1796875" customWidth="1"/>
    <col min="18" max="18" width="9.54296875" customWidth="1"/>
    <col min="19" max="19" width="9.453125" customWidth="1"/>
    <col min="21" max="22" width="11.1796875" customWidth="1"/>
  </cols>
  <sheetData>
    <row r="1" spans="1:12" x14ac:dyDescent="0.35">
      <c r="A1" s="340" t="s">
        <v>267</v>
      </c>
      <c r="B1" s="340"/>
      <c r="C1" s="340"/>
      <c r="D1" s="340"/>
      <c r="E1" s="340"/>
      <c r="F1" s="340"/>
      <c r="G1" s="340"/>
      <c r="H1" s="340"/>
      <c r="I1" s="340"/>
      <c r="J1" s="340"/>
      <c r="K1" s="340"/>
      <c r="L1" s="340"/>
    </row>
    <row r="2" spans="1:12" x14ac:dyDescent="0.35">
      <c r="A2" s="145" t="s">
        <v>153</v>
      </c>
    </row>
    <row r="3" spans="1:12" ht="15.5" x14ac:dyDescent="0.35">
      <c r="A3" s="253" t="s">
        <v>275</v>
      </c>
    </row>
    <row r="5" spans="1:12" x14ac:dyDescent="0.35">
      <c r="A5" s="8" t="s">
        <v>46</v>
      </c>
    </row>
    <row r="6" spans="1:12" x14ac:dyDescent="0.35">
      <c r="A6" s="9" t="s">
        <v>1</v>
      </c>
    </row>
    <row r="7" spans="1:12" x14ac:dyDescent="0.35">
      <c r="A7" s="9"/>
    </row>
    <row r="8" spans="1:12" x14ac:dyDescent="0.35">
      <c r="A8" s="48" t="s">
        <v>111</v>
      </c>
    </row>
    <row r="9" spans="1:12" ht="15.5" x14ac:dyDescent="0.35">
      <c r="A9" s="341" t="s">
        <v>242</v>
      </c>
      <c r="B9" s="338"/>
      <c r="C9" s="339"/>
      <c r="D9" s="38">
        <f>(0.8)*100</f>
        <v>80</v>
      </c>
      <c r="E9" t="s">
        <v>47</v>
      </c>
      <c r="G9" t="s">
        <v>4</v>
      </c>
    </row>
    <row r="10" spans="1:12" ht="15.5" x14ac:dyDescent="0.35">
      <c r="A10" s="341" t="s">
        <v>113</v>
      </c>
      <c r="B10" s="338"/>
      <c r="C10" s="339"/>
      <c r="D10" s="308">
        <v>0.01</v>
      </c>
      <c r="G10" t="s">
        <v>6</v>
      </c>
      <c r="I10" s="10" t="s">
        <v>9</v>
      </c>
    </row>
    <row r="11" spans="1:12" x14ac:dyDescent="0.35">
      <c r="A11" s="342" t="s">
        <v>110</v>
      </c>
      <c r="B11" s="343"/>
      <c r="C11" s="344"/>
      <c r="D11" s="42">
        <f>(10000)*10</f>
        <v>100000</v>
      </c>
      <c r="E11" t="s">
        <v>10</v>
      </c>
      <c r="G11" t="s">
        <v>4</v>
      </c>
    </row>
    <row r="12" spans="1:12" ht="15.5" x14ac:dyDescent="0.35">
      <c r="A12" s="342" t="s">
        <v>137</v>
      </c>
      <c r="B12" s="343"/>
      <c r="C12" s="344"/>
      <c r="D12" s="105">
        <v>0.8</v>
      </c>
      <c r="E12" s="100"/>
    </row>
    <row r="13" spans="1:12" ht="15.5" x14ac:dyDescent="0.35">
      <c r="A13" s="342" t="s">
        <v>138</v>
      </c>
      <c r="B13" s="343"/>
      <c r="C13" s="344"/>
      <c r="D13" s="106">
        <f>(D11*D12)</f>
        <v>80000</v>
      </c>
      <c r="E13" s="100" t="s">
        <v>10</v>
      </c>
    </row>
    <row r="14" spans="1:12" x14ac:dyDescent="0.35">
      <c r="A14" s="346" t="s">
        <v>139</v>
      </c>
      <c r="B14" s="346"/>
      <c r="C14" s="346"/>
      <c r="D14" s="42" t="s">
        <v>4</v>
      </c>
      <c r="E14" s="100" t="s">
        <v>4</v>
      </c>
    </row>
    <row r="15" spans="1:12" x14ac:dyDescent="0.35">
      <c r="A15" s="46"/>
      <c r="B15" s="46"/>
      <c r="C15" s="46"/>
      <c r="D15" s="47"/>
    </row>
    <row r="16" spans="1:12" x14ac:dyDescent="0.35">
      <c r="A16" s="46"/>
      <c r="B16" s="46"/>
      <c r="C16" s="46"/>
      <c r="D16" s="47"/>
    </row>
    <row r="17" spans="1:14" x14ac:dyDescent="0.35">
      <c r="A17" s="49" t="s">
        <v>112</v>
      </c>
      <c r="B17" s="46"/>
      <c r="C17" s="46"/>
      <c r="D17" s="47"/>
    </row>
    <row r="18" spans="1:14" ht="15.5" x14ac:dyDescent="0.35">
      <c r="A18" s="345" t="s">
        <v>114</v>
      </c>
      <c r="B18" s="338"/>
      <c r="C18" s="339"/>
      <c r="D18" s="11">
        <v>3.2</v>
      </c>
    </row>
    <row r="19" spans="1:14" ht="15.5" x14ac:dyDescent="0.35">
      <c r="A19" s="337" t="s">
        <v>244</v>
      </c>
      <c r="B19" s="338"/>
      <c r="C19" s="339"/>
      <c r="D19" s="39">
        <f>(39000+51000)/2</f>
        <v>45000</v>
      </c>
      <c r="E19" t="s">
        <v>4</v>
      </c>
      <c r="F19" t="s">
        <v>4</v>
      </c>
      <c r="G19" t="s">
        <v>4</v>
      </c>
      <c r="I19" s="10" t="s">
        <v>4</v>
      </c>
    </row>
    <row r="20" spans="1:14" ht="15.5" x14ac:dyDescent="0.35">
      <c r="A20" s="345" t="s">
        <v>48</v>
      </c>
      <c r="B20" s="338"/>
      <c r="C20" s="339"/>
      <c r="D20" s="97">
        <v>0.15</v>
      </c>
      <c r="G20" s="100" t="s">
        <v>6</v>
      </c>
      <c r="H20" s="10" t="s">
        <v>18</v>
      </c>
      <c r="I20" s="10" t="s">
        <v>19</v>
      </c>
      <c r="J20" s="100"/>
      <c r="K20" s="10" t="s">
        <v>20</v>
      </c>
      <c r="L20" s="100" t="s">
        <v>273</v>
      </c>
      <c r="N20" s="10"/>
    </row>
    <row r="21" spans="1:14" ht="15.5" x14ac:dyDescent="0.35">
      <c r="A21" s="348" t="s">
        <v>49</v>
      </c>
      <c r="B21" s="338"/>
      <c r="C21" s="339"/>
      <c r="D21" s="59">
        <v>0</v>
      </c>
      <c r="G21" t="s">
        <v>4</v>
      </c>
      <c r="I21" s="10" t="s">
        <v>4</v>
      </c>
      <c r="K21" s="10" t="s">
        <v>4</v>
      </c>
      <c r="N21" s="10" t="s">
        <v>4</v>
      </c>
    </row>
    <row r="22" spans="1:14" ht="15.5" x14ac:dyDescent="0.35">
      <c r="A22" s="349" t="s">
        <v>118</v>
      </c>
      <c r="B22" s="350"/>
      <c r="C22" s="350"/>
      <c r="D22" s="52">
        <v>0</v>
      </c>
    </row>
    <row r="23" spans="1:14" ht="15.5" x14ac:dyDescent="0.35">
      <c r="A23" s="351" t="s">
        <v>119</v>
      </c>
      <c r="B23" s="352"/>
      <c r="C23" s="353"/>
      <c r="D23" s="60">
        <v>1</v>
      </c>
    </row>
    <row r="24" spans="1:14" ht="15.5" x14ac:dyDescent="0.35">
      <c r="A24" s="354" t="s">
        <v>245</v>
      </c>
      <c r="B24" s="355"/>
      <c r="C24" s="356"/>
      <c r="D24" s="61">
        <v>0</v>
      </c>
      <c r="E24" s="4" t="s">
        <v>47</v>
      </c>
    </row>
    <row r="25" spans="1:14" ht="15.65" customHeight="1" x14ac:dyDescent="0.35">
      <c r="A25" s="357" t="s">
        <v>246</v>
      </c>
      <c r="B25" s="350"/>
      <c r="C25" s="358"/>
      <c r="D25" s="309">
        <f>(500)</f>
        <v>500</v>
      </c>
      <c r="E25" s="88"/>
    </row>
    <row r="26" spans="1:14" ht="15.5" x14ac:dyDescent="0.35">
      <c r="A26" s="359" t="s">
        <v>131</v>
      </c>
      <c r="B26" s="360"/>
      <c r="C26" s="361"/>
      <c r="D26" s="58">
        <f>(D13*0.96)</f>
        <v>76800</v>
      </c>
      <c r="E26" t="s">
        <v>27</v>
      </c>
      <c r="F26" t="s">
        <v>4</v>
      </c>
      <c r="G26" t="s">
        <v>266</v>
      </c>
      <c r="H26" s="100"/>
      <c r="I26" s="100"/>
      <c r="J26" s="100"/>
    </row>
    <row r="27" spans="1:14" ht="15.65" customHeight="1" x14ac:dyDescent="0.35">
      <c r="A27" s="362" t="s">
        <v>83</v>
      </c>
      <c r="B27" s="350"/>
      <c r="C27" s="358"/>
      <c r="D27" s="62">
        <v>0</v>
      </c>
    </row>
    <row r="28" spans="1:14" ht="15.5" x14ac:dyDescent="0.35">
      <c r="A28" s="363" t="s">
        <v>243</v>
      </c>
      <c r="B28" s="363"/>
      <c r="C28" s="363"/>
      <c r="D28" s="317">
        <f>(8.75)</f>
        <v>8.75</v>
      </c>
      <c r="E28" t="s">
        <v>3</v>
      </c>
    </row>
    <row r="29" spans="1:14" ht="15.5" x14ac:dyDescent="0.35">
      <c r="A29" s="347" t="s">
        <v>115</v>
      </c>
      <c r="B29" s="347"/>
      <c r="C29" s="347"/>
      <c r="D29" s="318">
        <v>5000</v>
      </c>
      <c r="E29" t="s">
        <v>4</v>
      </c>
    </row>
    <row r="30" spans="1:14" ht="15.5" x14ac:dyDescent="0.35">
      <c r="A30" s="347" t="s">
        <v>116</v>
      </c>
      <c r="B30" s="347"/>
      <c r="C30" s="347"/>
      <c r="D30" s="54">
        <v>5</v>
      </c>
      <c r="E30" t="s">
        <v>85</v>
      </c>
    </row>
    <row r="31" spans="1:14" ht="15.5" x14ac:dyDescent="0.35">
      <c r="A31" s="347" t="s">
        <v>117</v>
      </c>
      <c r="B31" s="347"/>
      <c r="C31" s="347"/>
      <c r="D31" s="53">
        <v>1.4999999999999999E-2</v>
      </c>
    </row>
    <row r="32" spans="1:14" ht="15.5" x14ac:dyDescent="0.35">
      <c r="A32" s="50"/>
      <c r="B32" s="44"/>
      <c r="C32" s="44"/>
      <c r="D32" s="51"/>
    </row>
    <row r="33" spans="1:22" ht="15.5" x14ac:dyDescent="0.35">
      <c r="A33" s="50"/>
      <c r="B33" s="44"/>
      <c r="C33" s="44"/>
      <c r="D33" s="51"/>
    </row>
    <row r="34" spans="1:22" ht="15.5" x14ac:dyDescent="0.35">
      <c r="A34" s="50"/>
      <c r="B34" s="44"/>
      <c r="C34" s="44"/>
      <c r="D34" s="51"/>
    </row>
    <row r="35" spans="1:22" ht="15.5" x14ac:dyDescent="0.35">
      <c r="A35" s="50"/>
      <c r="B35" s="44"/>
      <c r="C35" s="44"/>
      <c r="D35" s="51"/>
    </row>
    <row r="36" spans="1:22" ht="15.5" x14ac:dyDescent="0.35">
      <c r="A36" s="25" t="s">
        <v>99</v>
      </c>
      <c r="B36" s="12"/>
      <c r="C36" s="12"/>
      <c r="D36" s="12"/>
    </row>
    <row r="37" spans="1:22" ht="124" x14ac:dyDescent="0.3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5" x14ac:dyDescent="0.35">
      <c r="A38" s="24">
        <v>0</v>
      </c>
      <c r="B38" s="33">
        <f>D9</f>
        <v>80</v>
      </c>
      <c r="C38" s="24">
        <v>0</v>
      </c>
      <c r="D38" s="33">
        <f>(D13/1000*B38)+C38</f>
        <v>6400</v>
      </c>
      <c r="E38" s="117">
        <f>(0)</f>
        <v>0</v>
      </c>
      <c r="F38" s="118">
        <f>IF((D30&gt;0),0,$D$75)</f>
        <v>0</v>
      </c>
      <c r="G38" s="321">
        <f>(0)</f>
        <v>0</v>
      </c>
      <c r="H38" s="321">
        <f>IF(D29&gt;0,(D29),"")</f>
        <v>5000</v>
      </c>
      <c r="I38" s="321">
        <f>IF(OR(H38="",H38=0),0,D75-D29)</f>
        <v>33250</v>
      </c>
      <c r="J38" s="120">
        <v>0</v>
      </c>
      <c r="K38" s="325">
        <f>IFERROR(F38+G38+I38+J38,J38)</f>
        <v>33250</v>
      </c>
      <c r="L38" s="32">
        <f>S38-K38</f>
        <v>-33250</v>
      </c>
      <c r="M38" s="21">
        <f>L38</f>
        <v>-33250</v>
      </c>
      <c r="N38" s="21" t="s">
        <v>4</v>
      </c>
      <c r="O38" s="24">
        <f t="shared" ref="O38:O63" si="0">IF(N38&lt;0,1,0)</f>
        <v>0</v>
      </c>
      <c r="P38" s="33">
        <f>D9</f>
        <v>80</v>
      </c>
      <c r="Q38" s="33">
        <f>D24</f>
        <v>0</v>
      </c>
      <c r="R38" s="43">
        <f>IF(D24&gt;0,G110,I110)</f>
        <v>76800</v>
      </c>
      <c r="S38" s="21">
        <v>0</v>
      </c>
      <c r="T38" s="64">
        <v>0</v>
      </c>
      <c r="U38" s="66">
        <f>D38</f>
        <v>6400</v>
      </c>
      <c r="V38" s="66">
        <f>(K38)</f>
        <v>33250</v>
      </c>
    </row>
    <row r="39" spans="1:22" ht="15.5" x14ac:dyDescent="0.35">
      <c r="A39" s="24">
        <v>1</v>
      </c>
      <c r="B39" s="33">
        <f>(1+D10)*B38</f>
        <v>80.8</v>
      </c>
      <c r="C39" s="24">
        <v>0</v>
      </c>
      <c r="D39" s="33">
        <f>(D13/1000*B39)+C39</f>
        <v>6464</v>
      </c>
      <c r="E39" s="117">
        <f>IF(OR(H38="",H38=0),"",E38+1)</f>
        <v>1</v>
      </c>
      <c r="F39" s="118">
        <f>IF(E39="","",$D$29/$D$30)</f>
        <v>1000</v>
      </c>
      <c r="G39" s="321">
        <f>IF(E39="","",((H38*$D$31)))</f>
        <v>75</v>
      </c>
      <c r="H39" s="321">
        <f>IFERROR(ROUND(IF(E39="","",($H$38-SUM($F$38:F39))),2),"")</f>
        <v>4000</v>
      </c>
      <c r="I39" s="119"/>
      <c r="J39" s="120">
        <f>D25</f>
        <v>500</v>
      </c>
      <c r="K39" s="325">
        <f>IFERROR(F39+G39+I39+J39,J39)</f>
        <v>1575</v>
      </c>
      <c r="L39" s="32">
        <f>S39-K39</f>
        <v>4630.4399999999996</v>
      </c>
      <c r="M39" s="21">
        <f t="shared" ref="M39:M63" si="1">M38+$L39</f>
        <v>-28619.56</v>
      </c>
      <c r="N39" s="21">
        <f>NPV(D22,L38:L39)</f>
        <v>-28619.56</v>
      </c>
      <c r="O39" s="24">
        <f t="shared" si="0"/>
        <v>1</v>
      </c>
      <c r="P39" s="33">
        <f t="shared" ref="P39:Q54" si="2">(1+$D$10)*P38</f>
        <v>80.8</v>
      </c>
      <c r="Q39" s="33">
        <f t="shared" si="2"/>
        <v>0</v>
      </c>
      <c r="R39" s="43">
        <f>R38*(1+D27)</f>
        <v>76800</v>
      </c>
      <c r="S39" s="21">
        <f>R39*D23*P39/1000+R39*(1-D23)*D24/1000</f>
        <v>6205.44</v>
      </c>
      <c r="T39" s="64">
        <v>1</v>
      </c>
      <c r="U39" s="66">
        <f t="shared" ref="U39:U63" si="3">(U38+D39)</f>
        <v>12864</v>
      </c>
      <c r="V39" s="66">
        <f>(V38+(D76+D77))</f>
        <v>35606</v>
      </c>
    </row>
    <row r="40" spans="1:22" ht="15.5" x14ac:dyDescent="0.35">
      <c r="A40" s="24">
        <v>2</v>
      </c>
      <c r="B40" s="33">
        <f>(1+D10)*B39</f>
        <v>81.608000000000004</v>
      </c>
      <c r="C40" s="24">
        <v>0</v>
      </c>
      <c r="D40" s="33">
        <f>(D13/1000*B40)+C40</f>
        <v>6528.64</v>
      </c>
      <c r="E40" s="117">
        <f>IF(OR(H39="",H39=0),"",E39+1)</f>
        <v>2</v>
      </c>
      <c r="F40" s="118">
        <f t="shared" ref="F40:F58" si="4">IF(E40="","",$D$29/$D$30)</f>
        <v>1000</v>
      </c>
      <c r="G40" s="321">
        <f t="shared" ref="G40:G58" si="5">IF(E40="","",((H39*$D$31)))</f>
        <v>60</v>
      </c>
      <c r="H40" s="321">
        <f>IFERROR(ROUND(IF(E40="","",($H$38-SUM($F$38:F40))),2),"")</f>
        <v>3000</v>
      </c>
      <c r="I40" s="119"/>
      <c r="J40" s="120">
        <f>D25</f>
        <v>500</v>
      </c>
      <c r="K40" s="325">
        <f t="shared" ref="K40:K63" si="6">IFERROR(F40+G40+I40+J40,J40)</f>
        <v>1560</v>
      </c>
      <c r="L40" s="32">
        <f t="shared" ref="L40:L63" si="7">S40-K40</f>
        <v>4707.4944000000005</v>
      </c>
      <c r="M40" s="21">
        <f t="shared" si="1"/>
        <v>-23912.065600000002</v>
      </c>
      <c r="N40" s="21">
        <f>NPV(D22,L38:L40)</f>
        <v>-23912.065600000002</v>
      </c>
      <c r="O40" s="24">
        <f t="shared" si="0"/>
        <v>1</v>
      </c>
      <c r="P40" s="33">
        <f t="shared" si="2"/>
        <v>81.608000000000004</v>
      </c>
      <c r="Q40" s="33">
        <f t="shared" si="2"/>
        <v>0</v>
      </c>
      <c r="R40" s="43">
        <f>R39*(1+D27)</f>
        <v>76800</v>
      </c>
      <c r="S40" s="21">
        <f>R40*D23*P40/1000+R40*(1-D23)*D24/1000</f>
        <v>6267.4944000000005</v>
      </c>
      <c r="T40" s="64">
        <v>2</v>
      </c>
      <c r="U40" s="66">
        <f t="shared" si="3"/>
        <v>19392.64</v>
      </c>
      <c r="V40" s="66">
        <f>(V39+(D76+D77))</f>
        <v>37962</v>
      </c>
    </row>
    <row r="41" spans="1:22" ht="15.5" x14ac:dyDescent="0.35">
      <c r="A41" s="24">
        <v>3</v>
      </c>
      <c r="B41" s="33">
        <f>(1+D10)*B40</f>
        <v>82.424080000000004</v>
      </c>
      <c r="C41" s="24">
        <v>0</v>
      </c>
      <c r="D41" s="33">
        <f>(D13/1000*B41)+C41</f>
        <v>6593.9264000000003</v>
      </c>
      <c r="E41" s="117">
        <f t="shared" ref="E41:E58" si="8">IF(OR(H40="",H40=0),"",E40+1)</f>
        <v>3</v>
      </c>
      <c r="F41" s="118">
        <f t="shared" si="4"/>
        <v>1000</v>
      </c>
      <c r="G41" s="321">
        <f t="shared" si="5"/>
        <v>45</v>
      </c>
      <c r="H41" s="321">
        <f>IFERROR(ROUND(IF(E41="","",($H$38-SUM($F$38:F41))),2),"")</f>
        <v>2000</v>
      </c>
      <c r="I41" s="119"/>
      <c r="J41" s="120">
        <f>D25</f>
        <v>500</v>
      </c>
      <c r="K41" s="325">
        <f t="shared" si="6"/>
        <v>1545</v>
      </c>
      <c r="L41" s="32">
        <f t="shared" si="7"/>
        <v>4785.1693440000008</v>
      </c>
      <c r="M41" s="21">
        <f t="shared" si="1"/>
        <v>-19126.896256</v>
      </c>
      <c r="N41" s="21">
        <f>NPV(D22,L38:L41)</f>
        <v>-19126.896256</v>
      </c>
      <c r="O41" s="24">
        <f t="shared" si="0"/>
        <v>1</v>
      </c>
      <c r="P41" s="33">
        <f t="shared" si="2"/>
        <v>82.424080000000004</v>
      </c>
      <c r="Q41" s="33">
        <f t="shared" si="2"/>
        <v>0</v>
      </c>
      <c r="R41" s="43">
        <f>R40*(1+D27)</f>
        <v>76800</v>
      </c>
      <c r="S41" s="21">
        <f>R41*D23*P41/1000+R41*(1-D23)*D24/1000</f>
        <v>6330.1693440000008</v>
      </c>
      <c r="T41" s="64">
        <v>3</v>
      </c>
      <c r="U41" s="66">
        <f t="shared" si="3"/>
        <v>25986.5664</v>
      </c>
      <c r="V41" s="66">
        <f>(V40+(D76+D77))</f>
        <v>40318</v>
      </c>
    </row>
    <row r="42" spans="1:22" ht="15.5" x14ac:dyDescent="0.35">
      <c r="A42" s="24">
        <v>4</v>
      </c>
      <c r="B42" s="33">
        <f>(1+D10)*B41</f>
        <v>83.248320800000002</v>
      </c>
      <c r="C42" s="24">
        <v>0</v>
      </c>
      <c r="D42" s="33">
        <f>(D13/1000*B42)+C42</f>
        <v>6659.8656639999999</v>
      </c>
      <c r="E42" s="117">
        <f t="shared" si="8"/>
        <v>4</v>
      </c>
      <c r="F42" s="118">
        <f t="shared" si="4"/>
        <v>1000</v>
      </c>
      <c r="G42" s="321">
        <f t="shared" si="5"/>
        <v>30</v>
      </c>
      <c r="H42" s="321">
        <f>IFERROR(ROUND(IF(E42="","",($H$38-SUM($F$38:F42))),2),"")</f>
        <v>1000</v>
      </c>
      <c r="I42" s="119"/>
      <c r="J42" s="120">
        <f>D25</f>
        <v>500</v>
      </c>
      <c r="K42" s="325">
        <f t="shared" si="6"/>
        <v>1530</v>
      </c>
      <c r="L42" s="32">
        <f t="shared" si="7"/>
        <v>4863.4710374400001</v>
      </c>
      <c r="M42" s="69">
        <f t="shared" si="1"/>
        <v>-14263.42521856</v>
      </c>
      <c r="N42" s="21">
        <f>NPV(D22,L38:L42)</f>
        <v>-14263.42521856</v>
      </c>
      <c r="O42" s="24">
        <f t="shared" si="0"/>
        <v>1</v>
      </c>
      <c r="P42" s="33">
        <f t="shared" si="2"/>
        <v>83.248320800000002</v>
      </c>
      <c r="Q42" s="33">
        <f t="shared" si="2"/>
        <v>0</v>
      </c>
      <c r="R42" s="43">
        <f>R41*(1+D27)</f>
        <v>76800</v>
      </c>
      <c r="S42" s="21">
        <f>R42*D23*P42/1000+R42*(1-D23)*D24/1000</f>
        <v>6393.4710374400001</v>
      </c>
      <c r="T42" s="64">
        <v>4</v>
      </c>
      <c r="U42" s="66">
        <f t="shared" si="3"/>
        <v>32646.432064000001</v>
      </c>
      <c r="V42" s="66">
        <f>(V41+(D76+D77))</f>
        <v>42674</v>
      </c>
    </row>
    <row r="43" spans="1:22" ht="15.5" x14ac:dyDescent="0.35">
      <c r="A43" s="24">
        <v>5</v>
      </c>
      <c r="B43" s="33">
        <f>(1+D10)*B42</f>
        <v>84.080804008000001</v>
      </c>
      <c r="C43" s="24">
        <v>0</v>
      </c>
      <c r="D43" s="33">
        <f>(D13/1000*B43)+C43</f>
        <v>6726.4643206399996</v>
      </c>
      <c r="E43" s="117">
        <f t="shared" si="8"/>
        <v>5</v>
      </c>
      <c r="F43" s="118">
        <f t="shared" si="4"/>
        <v>1000</v>
      </c>
      <c r="G43" s="321">
        <f t="shared" si="5"/>
        <v>15</v>
      </c>
      <c r="H43" s="321">
        <f>IFERROR(ROUND(IF(E43="","",($H$38-SUM($F$38:F43))),2),"")</f>
        <v>0</v>
      </c>
      <c r="I43" s="119"/>
      <c r="J43" s="120">
        <f>D25</f>
        <v>500</v>
      </c>
      <c r="K43" s="325">
        <f t="shared" si="6"/>
        <v>1515</v>
      </c>
      <c r="L43" s="32">
        <f t="shared" si="7"/>
        <v>4942.4057478144005</v>
      </c>
      <c r="M43" s="70">
        <f t="shared" si="1"/>
        <v>-9321.0194707455994</v>
      </c>
      <c r="N43" s="21">
        <f>NPV(D22,L38:L43)</f>
        <v>-9321.0194707455994</v>
      </c>
      <c r="O43" s="24">
        <f t="shared" si="0"/>
        <v>1</v>
      </c>
      <c r="P43" s="33">
        <f t="shared" si="2"/>
        <v>84.080804008000001</v>
      </c>
      <c r="Q43" s="33">
        <f t="shared" si="2"/>
        <v>0</v>
      </c>
      <c r="R43" s="43">
        <f>R42*(1+D27)</f>
        <v>76800</v>
      </c>
      <c r="S43" s="21">
        <f>R43*D23*P43/1000+R43*(1-D23)*D24/1000</f>
        <v>6457.4057478144005</v>
      </c>
      <c r="T43" s="64">
        <v>5</v>
      </c>
      <c r="U43" s="66">
        <f t="shared" si="3"/>
        <v>39372.89638464</v>
      </c>
      <c r="V43" s="66">
        <f>(V42+(D76+D77))</f>
        <v>45030</v>
      </c>
    </row>
    <row r="44" spans="1:22" ht="15.5" x14ac:dyDescent="0.35">
      <c r="A44" s="24">
        <v>6</v>
      </c>
      <c r="B44" s="33">
        <f>(1+D10)*B43</f>
        <v>84.921612048080007</v>
      </c>
      <c r="C44" s="24">
        <v>0</v>
      </c>
      <c r="D44" s="33">
        <f>(D13/1000*B44)+C44</f>
        <v>6793.7289638464008</v>
      </c>
      <c r="E44" s="117" t="str">
        <f t="shared" si="8"/>
        <v/>
      </c>
      <c r="F44" s="118" t="str">
        <f t="shared" si="4"/>
        <v/>
      </c>
      <c r="G44" s="321" t="str">
        <f t="shared" si="5"/>
        <v/>
      </c>
      <c r="H44" s="321" t="str">
        <f>IFERROR(ROUND(IF(E44="","",($H$38-SUM($F$38:F44))),2),"")</f>
        <v/>
      </c>
      <c r="I44" s="119"/>
      <c r="J44" s="120">
        <f>D25</f>
        <v>500</v>
      </c>
      <c r="K44" s="325">
        <f t="shared" si="6"/>
        <v>500</v>
      </c>
      <c r="L44" s="32">
        <f t="shared" si="7"/>
        <v>6021.9798052925453</v>
      </c>
      <c r="M44" s="70">
        <f t="shared" si="1"/>
        <v>-3299.0396654530541</v>
      </c>
      <c r="N44" s="21">
        <f>NPV(D22,L38:L44)</f>
        <v>-3299.0396654530541</v>
      </c>
      <c r="O44" s="67">
        <f t="shared" si="0"/>
        <v>1</v>
      </c>
      <c r="P44" s="33">
        <f t="shared" si="2"/>
        <v>84.921612048080007</v>
      </c>
      <c r="Q44" s="33">
        <f t="shared" si="2"/>
        <v>0</v>
      </c>
      <c r="R44" s="43">
        <f>R43*(1+D27)</f>
        <v>76800</v>
      </c>
      <c r="S44" s="21">
        <f>R44*D23*P44/1000+R44*(1-D23)*D24/1000</f>
        <v>6521.9798052925453</v>
      </c>
      <c r="T44" s="64">
        <v>6</v>
      </c>
      <c r="U44" s="66">
        <f t="shared" si="3"/>
        <v>46166.625348486399</v>
      </c>
      <c r="V44" s="66">
        <f>(V43+(D76+D77))</f>
        <v>47386</v>
      </c>
    </row>
    <row r="45" spans="1:22" ht="15.5" x14ac:dyDescent="0.35">
      <c r="A45" s="24">
        <v>7</v>
      </c>
      <c r="B45" s="33">
        <f>(1+D10)*B44</f>
        <v>85.770828168560811</v>
      </c>
      <c r="C45" s="24">
        <v>0</v>
      </c>
      <c r="D45" s="33">
        <f>(D13/1000*B45)+C45</f>
        <v>6861.6662534848647</v>
      </c>
      <c r="E45" s="117" t="str">
        <f t="shared" si="8"/>
        <v/>
      </c>
      <c r="F45" s="118" t="str">
        <f t="shared" si="4"/>
        <v/>
      </c>
      <c r="G45" s="321" t="str">
        <f t="shared" si="5"/>
        <v/>
      </c>
      <c r="H45" s="321" t="str">
        <f>IFERROR(ROUND(IF(E45="","",($H$38-SUM($F$38:F45))),2),"")</f>
        <v/>
      </c>
      <c r="I45" s="119"/>
      <c r="J45" s="120">
        <f>D25</f>
        <v>500</v>
      </c>
      <c r="K45" s="325">
        <f t="shared" si="6"/>
        <v>500</v>
      </c>
      <c r="L45" s="32">
        <f t="shared" si="7"/>
        <v>6087.1996033454707</v>
      </c>
      <c r="M45" s="70">
        <f t="shared" si="1"/>
        <v>2788.1599378924166</v>
      </c>
      <c r="N45" s="21">
        <f>NPV(D22,L38:L45)</f>
        <v>2788.1599378924166</v>
      </c>
      <c r="O45" s="67">
        <f t="shared" si="0"/>
        <v>0</v>
      </c>
      <c r="P45" s="33">
        <f t="shared" si="2"/>
        <v>85.770828168560811</v>
      </c>
      <c r="Q45" s="33">
        <f t="shared" si="2"/>
        <v>0</v>
      </c>
      <c r="R45" s="43">
        <f>R44*(1+D27)</f>
        <v>76800</v>
      </c>
      <c r="S45" s="21">
        <f>R45*D23*P45/1000+R45*(1-D23)*D24/1000</f>
        <v>6587.1996033454707</v>
      </c>
      <c r="T45" s="64">
        <v>7</v>
      </c>
      <c r="U45" s="66">
        <f t="shared" si="3"/>
        <v>53028.291601971265</v>
      </c>
      <c r="V45" s="66">
        <f>(V44+(D76+D77))</f>
        <v>49742</v>
      </c>
    </row>
    <row r="46" spans="1:22" ht="15.5" x14ac:dyDescent="0.35">
      <c r="A46" s="24">
        <v>8</v>
      </c>
      <c r="B46" s="33">
        <f>(1+D10)*B45</f>
        <v>86.628536450246415</v>
      </c>
      <c r="C46" s="24">
        <v>0</v>
      </c>
      <c r="D46" s="33">
        <f>(D13/1000*B46)+C46</f>
        <v>6930.2829160197134</v>
      </c>
      <c r="E46" s="117" t="str">
        <f t="shared" si="8"/>
        <v/>
      </c>
      <c r="F46" s="118" t="str">
        <f t="shared" si="4"/>
        <v/>
      </c>
      <c r="G46" s="321" t="str">
        <f t="shared" si="5"/>
        <v/>
      </c>
      <c r="H46" s="321" t="str">
        <f>IFERROR(ROUND(IF(E46="","",($H$38-SUM($F$38:F46))),2),"")</f>
        <v/>
      </c>
      <c r="I46" s="119"/>
      <c r="J46" s="120">
        <f>D25</f>
        <v>500</v>
      </c>
      <c r="K46" s="325">
        <f t="shared" si="6"/>
        <v>500</v>
      </c>
      <c r="L46" s="32">
        <f t="shared" si="7"/>
        <v>6153.0715993789245</v>
      </c>
      <c r="M46" s="70">
        <f t="shared" si="1"/>
        <v>8941.2315372713419</v>
      </c>
      <c r="N46" s="21">
        <f>NPV(D22,L38:L46)</f>
        <v>8941.2315372713419</v>
      </c>
      <c r="O46" s="67">
        <f t="shared" si="0"/>
        <v>0</v>
      </c>
      <c r="P46" s="33">
        <f t="shared" si="2"/>
        <v>86.628536450246415</v>
      </c>
      <c r="Q46" s="33">
        <f t="shared" si="2"/>
        <v>0</v>
      </c>
      <c r="R46" s="43">
        <f>R45*(1+D27)</f>
        <v>76800</v>
      </c>
      <c r="S46" s="21">
        <f>R46*D23*P46/1000+R46*(1-D23)*D24/1000</f>
        <v>6653.0715993789245</v>
      </c>
      <c r="T46" s="64">
        <v>8</v>
      </c>
      <c r="U46" s="66">
        <f t="shared" si="3"/>
        <v>59958.574517990979</v>
      </c>
      <c r="V46" s="66">
        <f>(V45+(D76+D77))</f>
        <v>52098</v>
      </c>
    </row>
    <row r="47" spans="1:22" ht="15.5" x14ac:dyDescent="0.35">
      <c r="A47" s="24">
        <v>9</v>
      </c>
      <c r="B47" s="33">
        <f>(1+D10)*B46</f>
        <v>87.494821814748875</v>
      </c>
      <c r="C47" s="24">
        <v>0</v>
      </c>
      <c r="D47" s="33">
        <f>(D13/1000*B47)+C47</f>
        <v>6999.5857451799102</v>
      </c>
      <c r="E47" s="117" t="str">
        <f t="shared" si="8"/>
        <v/>
      </c>
      <c r="F47" s="118" t="str">
        <f t="shared" si="4"/>
        <v/>
      </c>
      <c r="G47" s="321" t="str">
        <f t="shared" si="5"/>
        <v/>
      </c>
      <c r="H47" s="321" t="str">
        <f>IFERROR(ROUND(IF(E47="","",($H$38-SUM($F$38:F47))),2),"")</f>
        <v/>
      </c>
      <c r="I47" s="119"/>
      <c r="J47" s="120">
        <f>D25</f>
        <v>500</v>
      </c>
      <c r="K47" s="325">
        <f t="shared" si="6"/>
        <v>500</v>
      </c>
      <c r="L47" s="32">
        <f t="shared" si="7"/>
        <v>6219.6023153727137</v>
      </c>
      <c r="M47" s="70">
        <f t="shared" si="1"/>
        <v>15160.833852644057</v>
      </c>
      <c r="N47" s="21">
        <f>NPV(D22,L38:L47)</f>
        <v>15160.833852644057</v>
      </c>
      <c r="O47" s="67">
        <f t="shared" si="0"/>
        <v>0</v>
      </c>
      <c r="P47" s="33">
        <f t="shared" si="2"/>
        <v>87.494821814748875</v>
      </c>
      <c r="Q47" s="33">
        <f t="shared" si="2"/>
        <v>0</v>
      </c>
      <c r="R47" s="43">
        <f>R46*(1+D27)</f>
        <v>76800</v>
      </c>
      <c r="S47" s="21">
        <f>R47*D23*P47/1000+R47*(1-D23)*D24/1000</f>
        <v>6719.6023153727137</v>
      </c>
      <c r="T47" s="64">
        <v>9</v>
      </c>
      <c r="U47" s="66">
        <f t="shared" si="3"/>
        <v>66958.160263170896</v>
      </c>
      <c r="V47" s="66">
        <f>(V46+(D76+D77))</f>
        <v>54454</v>
      </c>
    </row>
    <row r="48" spans="1:22" ht="15.5" x14ac:dyDescent="0.35">
      <c r="A48" s="24">
        <v>10</v>
      </c>
      <c r="B48" s="33">
        <f>(1+D10)*B47</f>
        <v>88.369770032896369</v>
      </c>
      <c r="C48" s="24">
        <v>0</v>
      </c>
      <c r="D48" s="33">
        <f>(D13/1000*B48)+C48</f>
        <v>7069.5816026317098</v>
      </c>
      <c r="E48" s="117" t="str">
        <f t="shared" si="8"/>
        <v/>
      </c>
      <c r="F48" s="118" t="str">
        <f t="shared" si="4"/>
        <v/>
      </c>
      <c r="G48" s="321" t="str">
        <f t="shared" si="5"/>
        <v/>
      </c>
      <c r="H48" s="321" t="str">
        <f>IFERROR(ROUND(IF(E48="","",($H$38-SUM($F$38:F48))),2),"")</f>
        <v/>
      </c>
      <c r="I48" s="119"/>
      <c r="J48" s="120">
        <f>D25</f>
        <v>500</v>
      </c>
      <c r="K48" s="325">
        <f t="shared" si="6"/>
        <v>500</v>
      </c>
      <c r="L48" s="32">
        <f t="shared" si="7"/>
        <v>6286.7983385264406</v>
      </c>
      <c r="M48" s="70">
        <f t="shared" si="1"/>
        <v>21447.632191170498</v>
      </c>
      <c r="N48" s="21">
        <f>NPV(D22,L38:L48)</f>
        <v>21447.632191170498</v>
      </c>
      <c r="O48" s="67">
        <f t="shared" si="0"/>
        <v>0</v>
      </c>
      <c r="P48" s="33">
        <f t="shared" si="2"/>
        <v>88.369770032896369</v>
      </c>
      <c r="Q48" s="33">
        <f t="shared" si="2"/>
        <v>0</v>
      </c>
      <c r="R48" s="43">
        <f>R47*(1+D27)</f>
        <v>76800</v>
      </c>
      <c r="S48" s="21">
        <f>R48*D23*P48/1000+R48*(1-D23)*D24/1000</f>
        <v>6786.7983385264406</v>
      </c>
      <c r="T48" s="64">
        <v>10</v>
      </c>
      <c r="U48" s="66">
        <f t="shared" si="3"/>
        <v>74027.7418658026</v>
      </c>
      <c r="V48" s="66">
        <f>(V47+(D76+D77))</f>
        <v>56810</v>
      </c>
    </row>
    <row r="49" spans="1:22" ht="15.5" x14ac:dyDescent="0.35">
      <c r="A49" s="24">
        <v>11</v>
      </c>
      <c r="B49" s="33">
        <f>(1+D10)*B48</f>
        <v>89.253467733225335</v>
      </c>
      <c r="C49" s="24">
        <v>0</v>
      </c>
      <c r="D49" s="33">
        <f>(D13/1000*B49)+C49</f>
        <v>7140.2774186580264</v>
      </c>
      <c r="E49" s="117" t="str">
        <f t="shared" si="8"/>
        <v/>
      </c>
      <c r="F49" s="118" t="str">
        <f t="shared" si="4"/>
        <v/>
      </c>
      <c r="G49" s="321" t="str">
        <f t="shared" si="5"/>
        <v/>
      </c>
      <c r="H49" s="321" t="str">
        <f>IFERROR(ROUND(IF(E49="","",($H$38-SUM($F$38:F49))),2),"")</f>
        <v/>
      </c>
      <c r="I49" s="119"/>
      <c r="J49" s="120">
        <f>D25</f>
        <v>500</v>
      </c>
      <c r="K49" s="325">
        <f t="shared" si="6"/>
        <v>500</v>
      </c>
      <c r="L49" s="32">
        <f t="shared" si="7"/>
        <v>6354.6663219117054</v>
      </c>
      <c r="M49" s="70">
        <f t="shared" si="1"/>
        <v>27802.298513082205</v>
      </c>
      <c r="N49" s="21">
        <f>NPV(D22,L38:L49)</f>
        <v>27802.298513082205</v>
      </c>
      <c r="O49" s="67">
        <f t="shared" si="0"/>
        <v>0</v>
      </c>
      <c r="P49" s="33">
        <f t="shared" si="2"/>
        <v>89.253467733225335</v>
      </c>
      <c r="Q49" s="33">
        <f t="shared" si="2"/>
        <v>0</v>
      </c>
      <c r="R49" s="43">
        <f>R48*(1+D27)</f>
        <v>76800</v>
      </c>
      <c r="S49" s="21">
        <f>R49*D23*P49/1000+R49*(1-D23)*D24/1000</f>
        <v>6854.6663219117054</v>
      </c>
      <c r="T49" s="64">
        <v>11</v>
      </c>
      <c r="U49" s="66">
        <f t="shared" si="3"/>
        <v>81168.019284460621</v>
      </c>
      <c r="V49" s="66">
        <f>(V48+(D76+D77))</f>
        <v>59166</v>
      </c>
    </row>
    <row r="50" spans="1:22" ht="15.5" x14ac:dyDescent="0.35">
      <c r="A50" s="24">
        <v>12</v>
      </c>
      <c r="B50" s="33">
        <f>(1+D10)*B49</f>
        <v>90.146002410557585</v>
      </c>
      <c r="C50" s="24">
        <v>0</v>
      </c>
      <c r="D50" s="33">
        <f>(D13/1000*B50)+C50</f>
        <v>7211.6801928446066</v>
      </c>
      <c r="E50" s="117" t="str">
        <f t="shared" si="8"/>
        <v/>
      </c>
      <c r="F50" s="118" t="str">
        <f t="shared" si="4"/>
        <v/>
      </c>
      <c r="G50" s="321" t="str">
        <f t="shared" si="5"/>
        <v/>
      </c>
      <c r="H50" s="321" t="str">
        <f>IFERROR(ROUND(IF(E50="","",($H$38-SUM($F$38:F50))),2),"")</f>
        <v/>
      </c>
      <c r="I50" s="119"/>
      <c r="J50" s="120">
        <f>D25</f>
        <v>500</v>
      </c>
      <c r="K50" s="325">
        <f t="shared" si="6"/>
        <v>500</v>
      </c>
      <c r="L50" s="32">
        <f t="shared" si="7"/>
        <v>6423.2129851308218</v>
      </c>
      <c r="M50" s="70">
        <f t="shared" si="1"/>
        <v>34225.511498213025</v>
      </c>
      <c r="N50" s="21">
        <f>NPV(D22,L38:L50)</f>
        <v>34225.511498213025</v>
      </c>
      <c r="O50" s="67">
        <f t="shared" si="0"/>
        <v>0</v>
      </c>
      <c r="P50" s="33">
        <f t="shared" si="2"/>
        <v>90.146002410557585</v>
      </c>
      <c r="Q50" s="33">
        <f t="shared" si="2"/>
        <v>0</v>
      </c>
      <c r="R50" s="43">
        <f>R49*(1+D27)</f>
        <v>76800</v>
      </c>
      <c r="S50" s="21">
        <f>R50*D23*P50/1000+R50*(1-D23)*D24/1000</f>
        <v>6923.2129851308218</v>
      </c>
      <c r="T50" s="64">
        <v>12</v>
      </c>
      <c r="U50" s="66">
        <f t="shared" si="3"/>
        <v>88379.699477305228</v>
      </c>
      <c r="V50" s="66">
        <f>(V49+(D76+D77))</f>
        <v>61522</v>
      </c>
    </row>
    <row r="51" spans="1:22" ht="15.5" x14ac:dyDescent="0.35">
      <c r="A51" s="24">
        <v>13</v>
      </c>
      <c r="B51" s="33">
        <f>(1+D10)*B50</f>
        <v>91.04746243466316</v>
      </c>
      <c r="C51" s="24">
        <v>0</v>
      </c>
      <c r="D51" s="33">
        <f>(D13/1000*B51)+C51</f>
        <v>7283.7969947730526</v>
      </c>
      <c r="E51" s="117" t="str">
        <f t="shared" si="8"/>
        <v/>
      </c>
      <c r="F51" s="118" t="str">
        <f t="shared" si="4"/>
        <v/>
      </c>
      <c r="G51" s="321" t="str">
        <f t="shared" si="5"/>
        <v/>
      </c>
      <c r="H51" s="321" t="str">
        <f>IFERROR(ROUND(IF(E51="","",($H$38-SUM($F$38:F51))),2),"")</f>
        <v/>
      </c>
      <c r="I51" s="119"/>
      <c r="J51" s="120">
        <f>D25</f>
        <v>500</v>
      </c>
      <c r="K51" s="325">
        <f t="shared" si="6"/>
        <v>500</v>
      </c>
      <c r="L51" s="32">
        <f t="shared" si="7"/>
        <v>6492.4451149821307</v>
      </c>
      <c r="M51" s="70">
        <f t="shared" si="1"/>
        <v>40717.956613195158</v>
      </c>
      <c r="N51" s="21">
        <f>NPV(D22,L38:L51)</f>
        <v>40717.956613195158</v>
      </c>
      <c r="O51" s="67">
        <f t="shared" si="0"/>
        <v>0</v>
      </c>
      <c r="P51" s="33">
        <f t="shared" si="2"/>
        <v>91.04746243466316</v>
      </c>
      <c r="Q51" s="33">
        <f t="shared" si="2"/>
        <v>0</v>
      </c>
      <c r="R51" s="43">
        <f>R50*(1+D27)</f>
        <v>76800</v>
      </c>
      <c r="S51" s="21">
        <f>R51*D23*P51/1000+R51*(1-D23)*D24/1000</f>
        <v>6992.4451149821307</v>
      </c>
      <c r="T51" s="64">
        <v>13</v>
      </c>
      <c r="U51" s="66">
        <f t="shared" si="3"/>
        <v>95663.496472078288</v>
      </c>
      <c r="V51" s="66">
        <f>(V50+(D76+D77))</f>
        <v>63878</v>
      </c>
    </row>
    <row r="52" spans="1:22" ht="15.5" x14ac:dyDescent="0.35">
      <c r="A52" s="24">
        <v>14</v>
      </c>
      <c r="B52" s="33">
        <f>(1+D10)*B51</f>
        <v>91.957937059009794</v>
      </c>
      <c r="C52" s="24">
        <v>0</v>
      </c>
      <c r="D52" s="33">
        <f>(D13/1000*B52)+C52</f>
        <v>7356.6349647207835</v>
      </c>
      <c r="E52" s="117" t="str">
        <f t="shared" si="8"/>
        <v/>
      </c>
      <c r="F52" s="118" t="str">
        <f t="shared" si="4"/>
        <v/>
      </c>
      <c r="G52" s="321" t="str">
        <f t="shared" si="5"/>
        <v/>
      </c>
      <c r="H52" s="321" t="str">
        <f>IFERROR(ROUND(IF(E52="","",($H$38-SUM($F$38:F52))),2),"")</f>
        <v/>
      </c>
      <c r="I52" s="119"/>
      <c r="J52" s="120">
        <f>D25</f>
        <v>500</v>
      </c>
      <c r="K52" s="325">
        <f t="shared" si="6"/>
        <v>500</v>
      </c>
      <c r="L52" s="32">
        <f t="shared" si="7"/>
        <v>6562.3695661319525</v>
      </c>
      <c r="M52" s="70">
        <f t="shared" si="1"/>
        <v>47280.326179327109</v>
      </c>
      <c r="N52" s="21">
        <f>NPV(D22,L38:L52)</f>
        <v>47280.326179327109</v>
      </c>
      <c r="O52" s="67">
        <f t="shared" si="0"/>
        <v>0</v>
      </c>
      <c r="P52" s="33">
        <f t="shared" si="2"/>
        <v>91.957937059009794</v>
      </c>
      <c r="Q52" s="33">
        <f t="shared" si="2"/>
        <v>0</v>
      </c>
      <c r="R52" s="43">
        <f>R51*(1+D27)</f>
        <v>76800</v>
      </c>
      <c r="S52" s="21">
        <f>R52*D23*P52/1000+R52*(1-D23)*D24/1000</f>
        <v>7062.3695661319525</v>
      </c>
      <c r="T52" s="64">
        <v>14</v>
      </c>
      <c r="U52" s="66">
        <f t="shared" si="3"/>
        <v>103020.13143679907</v>
      </c>
      <c r="V52" s="66">
        <f>(V51+(D76+D77))</f>
        <v>66234</v>
      </c>
    </row>
    <row r="53" spans="1:22" ht="15.5" x14ac:dyDescent="0.35">
      <c r="A53" s="24">
        <v>15</v>
      </c>
      <c r="B53" s="33">
        <f>(1+D10)*B52</f>
        <v>92.877516429599893</v>
      </c>
      <c r="C53" s="24">
        <v>0</v>
      </c>
      <c r="D53" s="33">
        <f>(D13/1000*B53)+C53</f>
        <v>7430.2013143679915</v>
      </c>
      <c r="E53" s="117" t="str">
        <f t="shared" si="8"/>
        <v/>
      </c>
      <c r="F53" s="118" t="str">
        <f t="shared" si="4"/>
        <v/>
      </c>
      <c r="G53" s="321" t="str">
        <f t="shared" si="5"/>
        <v/>
      </c>
      <c r="H53" s="321" t="str">
        <f>IFERROR(ROUND(IF(E53="","",($H$38-SUM($F$38:F53))),2),"")</f>
        <v/>
      </c>
      <c r="I53" s="119"/>
      <c r="J53" s="120">
        <f>D25</f>
        <v>500</v>
      </c>
      <c r="K53" s="325">
        <f t="shared" si="6"/>
        <v>500</v>
      </c>
      <c r="L53" s="32">
        <f t="shared" si="7"/>
        <v>6632.9932617932718</v>
      </c>
      <c r="M53" s="70">
        <f t="shared" si="1"/>
        <v>53913.31944112038</v>
      </c>
      <c r="N53" s="21">
        <f>NPV(D22,L38:L53)</f>
        <v>53913.31944112038</v>
      </c>
      <c r="O53" s="67">
        <f t="shared" si="0"/>
        <v>0</v>
      </c>
      <c r="P53" s="33">
        <f t="shared" si="2"/>
        <v>92.877516429599893</v>
      </c>
      <c r="Q53" s="33">
        <f t="shared" si="2"/>
        <v>0</v>
      </c>
      <c r="R53" s="43">
        <f>R52*(1+D27)</f>
        <v>76800</v>
      </c>
      <c r="S53" s="21">
        <f>R53*D23*P53/1000+R53*(1-D23)*D24/1000</f>
        <v>7132.9932617932718</v>
      </c>
      <c r="T53" s="64">
        <v>15</v>
      </c>
      <c r="U53" s="66">
        <f t="shared" si="3"/>
        <v>110450.33275116706</v>
      </c>
      <c r="V53" s="66">
        <f>(V52+(D76+D77))</f>
        <v>68590</v>
      </c>
    </row>
    <row r="54" spans="1:22" ht="15.5" x14ac:dyDescent="0.35">
      <c r="A54" s="24">
        <v>16</v>
      </c>
      <c r="B54" s="33">
        <f>(1+D10)*B53</f>
        <v>93.806291593895892</v>
      </c>
      <c r="C54" s="24">
        <v>0</v>
      </c>
      <c r="D54" s="33">
        <f>(D13/1000*B54)+C54</f>
        <v>7504.5033275116712</v>
      </c>
      <c r="E54" s="117" t="str">
        <f t="shared" si="8"/>
        <v/>
      </c>
      <c r="F54" s="118" t="str">
        <f t="shared" si="4"/>
        <v/>
      </c>
      <c r="G54" s="321" t="str">
        <f t="shared" si="5"/>
        <v/>
      </c>
      <c r="H54" s="321" t="str">
        <f>IFERROR(ROUND(IF(E54="","",($H$38-SUM($F$38:F54))),2),"")</f>
        <v/>
      </c>
      <c r="I54" s="119"/>
      <c r="J54" s="120">
        <f>D25</f>
        <v>500</v>
      </c>
      <c r="K54" s="325">
        <f t="shared" si="6"/>
        <v>500</v>
      </c>
      <c r="L54" s="32">
        <f t="shared" si="7"/>
        <v>6704.323194411204</v>
      </c>
      <c r="M54" s="70">
        <f t="shared" si="1"/>
        <v>60617.642635531585</v>
      </c>
      <c r="N54" s="21">
        <f>NPV(D22,L38:L54)</f>
        <v>60617.642635531585</v>
      </c>
      <c r="O54" s="67">
        <f t="shared" si="0"/>
        <v>0</v>
      </c>
      <c r="P54" s="33">
        <f t="shared" si="2"/>
        <v>93.806291593895892</v>
      </c>
      <c r="Q54" s="33">
        <f t="shared" si="2"/>
        <v>0</v>
      </c>
      <c r="R54" s="43">
        <f>R53*(1+D27)</f>
        <v>76800</v>
      </c>
      <c r="S54" s="21">
        <f>R54*D23*P54/1000+R54*(1-D23)*D24/1000</f>
        <v>7204.323194411204</v>
      </c>
      <c r="T54" s="64">
        <v>16</v>
      </c>
      <c r="U54" s="66">
        <f t="shared" si="3"/>
        <v>117954.83607867874</v>
      </c>
      <c r="V54" s="66">
        <f>(V53+(D76+D77))</f>
        <v>70946</v>
      </c>
    </row>
    <row r="55" spans="1:22" ht="15.5" x14ac:dyDescent="0.35">
      <c r="A55" s="24">
        <v>17</v>
      </c>
      <c r="B55" s="33">
        <f>(1+D10)*B54</f>
        <v>94.744354509834849</v>
      </c>
      <c r="C55" s="24">
        <v>0</v>
      </c>
      <c r="D55" s="33">
        <f>(D13/1000*B55)+C55</f>
        <v>7579.5483607867882</v>
      </c>
      <c r="E55" s="117" t="str">
        <f t="shared" si="8"/>
        <v/>
      </c>
      <c r="F55" s="118" t="str">
        <f t="shared" si="4"/>
        <v/>
      </c>
      <c r="G55" s="321" t="str">
        <f t="shared" si="5"/>
        <v/>
      </c>
      <c r="H55" s="321" t="str">
        <f>IFERROR(ROUND(IF(E55="","",($H$38-SUM($F$38:F55))),2),"")</f>
        <v/>
      </c>
      <c r="I55" s="119"/>
      <c r="J55" s="120">
        <f>D25</f>
        <v>500</v>
      </c>
      <c r="K55" s="325">
        <f t="shared" si="6"/>
        <v>500</v>
      </c>
      <c r="L55" s="32">
        <f t="shared" si="7"/>
        <v>6776.3664263553164</v>
      </c>
      <c r="M55" s="70">
        <f t="shared" si="1"/>
        <v>67394.0090618869</v>
      </c>
      <c r="N55" s="21">
        <f>NPV(D22,L38:L55)</f>
        <v>67394.0090618869</v>
      </c>
      <c r="O55" s="67">
        <f t="shared" si="0"/>
        <v>0</v>
      </c>
      <c r="P55" s="33">
        <f t="shared" ref="P55:Q56" si="9">(1+$D$10)*P54</f>
        <v>94.744354509834849</v>
      </c>
      <c r="Q55" s="33">
        <f t="shared" si="9"/>
        <v>0</v>
      </c>
      <c r="R55" s="43">
        <f>R54*(1+D27)</f>
        <v>76800</v>
      </c>
      <c r="S55" s="21">
        <f>R55*D23*P55/1000+R55*(1-D23)*D24/1000</f>
        <v>7276.3664263553164</v>
      </c>
      <c r="T55" s="64">
        <v>17</v>
      </c>
      <c r="U55" s="66">
        <f t="shared" si="3"/>
        <v>125534.38443946553</v>
      </c>
      <c r="V55" s="66">
        <f>(V54+(D76+D77))</f>
        <v>73302</v>
      </c>
    </row>
    <row r="56" spans="1:22" ht="15.5" x14ac:dyDescent="0.35">
      <c r="A56" s="24">
        <v>18</v>
      </c>
      <c r="B56" s="33">
        <f>(1+D10)*B55</f>
        <v>95.691798054933201</v>
      </c>
      <c r="C56" s="24">
        <v>0</v>
      </c>
      <c r="D56" s="33">
        <f>(D13/1000*B56)+C56</f>
        <v>7655.3438443946561</v>
      </c>
      <c r="E56" s="117" t="str">
        <f t="shared" si="8"/>
        <v/>
      </c>
      <c r="F56" s="118" t="str">
        <f t="shared" si="4"/>
        <v/>
      </c>
      <c r="G56" s="321" t="str">
        <f t="shared" si="5"/>
        <v/>
      </c>
      <c r="H56" s="321" t="str">
        <f>IFERROR(ROUND(IF(E56="","",($H$38-SUM($F$38:F56))),2),"")</f>
        <v/>
      </c>
      <c r="I56" s="126"/>
      <c r="J56" s="127">
        <f>D25</f>
        <v>500</v>
      </c>
      <c r="K56" s="325">
        <f t="shared" si="6"/>
        <v>500</v>
      </c>
      <c r="L56" s="32">
        <f t="shared" si="7"/>
        <v>6849.1300906188699</v>
      </c>
      <c r="M56" s="70">
        <f t="shared" si="1"/>
        <v>74243.13915250577</v>
      </c>
      <c r="N56" s="21">
        <f>NPV(D22,L38:L56)</f>
        <v>74243.13915250577</v>
      </c>
      <c r="O56" s="67">
        <f t="shared" si="0"/>
        <v>0</v>
      </c>
      <c r="P56" s="33">
        <f t="shared" si="9"/>
        <v>95.691798054933201</v>
      </c>
      <c r="Q56" s="33">
        <f t="shared" si="9"/>
        <v>0</v>
      </c>
      <c r="R56" s="43">
        <f>R55*(1+D27)</f>
        <v>76800</v>
      </c>
      <c r="S56" s="21">
        <f>R56*D23*P56/1000+R56*(1-D23)*D24/1000</f>
        <v>7349.1300906188699</v>
      </c>
      <c r="T56" s="64">
        <v>18</v>
      </c>
      <c r="U56" s="66">
        <f t="shared" si="3"/>
        <v>133189.7282838602</v>
      </c>
      <c r="V56" s="66">
        <f>(V55+(D76+D77))</f>
        <v>75658</v>
      </c>
    </row>
    <row r="57" spans="1:22" ht="15.5" x14ac:dyDescent="0.35">
      <c r="A57" s="24">
        <v>19</v>
      </c>
      <c r="B57" s="33">
        <f>(1+D10)*B56</f>
        <v>96.648716035482536</v>
      </c>
      <c r="C57" s="24">
        <v>0</v>
      </c>
      <c r="D57" s="33">
        <f>(D13/1000*B57)+C57</f>
        <v>7731.8972828386031</v>
      </c>
      <c r="E57" s="117" t="str">
        <f t="shared" si="8"/>
        <v/>
      </c>
      <c r="F57" s="118" t="str">
        <f t="shared" si="4"/>
        <v/>
      </c>
      <c r="G57" s="321" t="str">
        <f t="shared" si="5"/>
        <v/>
      </c>
      <c r="H57" s="321" t="str">
        <f>IFERROR(ROUND(IF(E57="","",($H$38-SUM($F$38:F57))),2),"")</f>
        <v/>
      </c>
      <c r="I57" s="126"/>
      <c r="J57" s="127">
        <f>D25</f>
        <v>500</v>
      </c>
      <c r="K57" s="325">
        <f t="shared" si="6"/>
        <v>500</v>
      </c>
      <c r="L57" s="32">
        <f t="shared" si="7"/>
        <v>6922.6213915250592</v>
      </c>
      <c r="M57" s="70">
        <f t="shared" si="1"/>
        <v>81165.760544030825</v>
      </c>
      <c r="N57" s="21">
        <f>NPV(D22,L38:L57)</f>
        <v>81165.760544030825</v>
      </c>
      <c r="O57" s="67">
        <f t="shared" si="0"/>
        <v>0</v>
      </c>
      <c r="P57" s="33">
        <f>(1+$D$10)*P56</f>
        <v>96.648716035482536</v>
      </c>
      <c r="Q57" s="33">
        <f>(1+$D$10)*Q56</f>
        <v>0</v>
      </c>
      <c r="R57" s="43">
        <f>R56*(1+D27)</f>
        <v>76800</v>
      </c>
      <c r="S57" s="21">
        <f>R57*D23*P57/1000+R57*(1-D23)*D24/1000</f>
        <v>7422.6213915250592</v>
      </c>
      <c r="T57" s="64">
        <v>19</v>
      </c>
      <c r="U57" s="66">
        <f t="shared" si="3"/>
        <v>140921.62556669879</v>
      </c>
      <c r="V57" s="66">
        <f>(V56+(D76+D77))</f>
        <v>78014</v>
      </c>
    </row>
    <row r="58" spans="1:22" ht="15.5" x14ac:dyDescent="0.35">
      <c r="A58" s="24">
        <v>20</v>
      </c>
      <c r="B58" s="33">
        <f>(1+D10)*B57</f>
        <v>97.615203195837367</v>
      </c>
      <c r="C58" s="24">
        <v>0</v>
      </c>
      <c r="D58" s="33">
        <f>(D13/1000*B58)+C58</f>
        <v>7809.2162556669891</v>
      </c>
      <c r="E58" s="117" t="str">
        <f t="shared" si="8"/>
        <v/>
      </c>
      <c r="F58" s="118" t="str">
        <f t="shared" si="4"/>
        <v/>
      </c>
      <c r="G58" s="321" t="str">
        <f t="shared" si="5"/>
        <v/>
      </c>
      <c r="H58" s="321" t="str">
        <f>IFERROR(ROUND(IF(E58="","",($H$38-SUM($F$38:F58))),2),"")</f>
        <v/>
      </c>
      <c r="I58" s="119"/>
      <c r="J58" s="120">
        <f>D25</f>
        <v>500</v>
      </c>
      <c r="K58" s="325">
        <f t="shared" si="6"/>
        <v>500</v>
      </c>
      <c r="L58" s="32">
        <f t="shared" si="7"/>
        <v>6996.84760544031</v>
      </c>
      <c r="M58" s="70">
        <f t="shared" si="1"/>
        <v>88162.60814947114</v>
      </c>
      <c r="N58" s="21">
        <f>NPV(D22,L38:L58)</f>
        <v>88162.60814947114</v>
      </c>
      <c r="O58" s="67">
        <f t="shared" si="0"/>
        <v>0</v>
      </c>
      <c r="P58" s="33">
        <f t="shared" ref="P58:Q63" si="10">(1+$D$10)*P57</f>
        <v>97.615203195837367</v>
      </c>
      <c r="Q58" s="33">
        <f t="shared" si="10"/>
        <v>0</v>
      </c>
      <c r="R58" s="43">
        <f>R57*(1+D27)</f>
        <v>76800</v>
      </c>
      <c r="S58" s="21">
        <f>R58*D23*P58/1000+R58*(1-D23)*D24/1000</f>
        <v>7496.84760544031</v>
      </c>
      <c r="T58" s="64">
        <v>20</v>
      </c>
      <c r="U58" s="66">
        <f t="shared" si="3"/>
        <v>148730.84182236576</v>
      </c>
      <c r="V58" s="66">
        <f>(V57+(D76+D77))</f>
        <v>80370</v>
      </c>
    </row>
    <row r="59" spans="1:22" ht="15.5" x14ac:dyDescent="0.35">
      <c r="A59" s="24">
        <v>21</v>
      </c>
      <c r="B59" s="33">
        <f>(1+D10)*B58</f>
        <v>98.591355227795745</v>
      </c>
      <c r="C59" s="24">
        <v>0</v>
      </c>
      <c r="D59" s="33">
        <f>(D13/1000*B59)+C59</f>
        <v>7887.3084182236598</v>
      </c>
      <c r="E59" s="117"/>
      <c r="F59" s="118"/>
      <c r="G59" s="321" t="s">
        <v>4</v>
      </c>
      <c r="H59" s="321"/>
      <c r="I59" s="126"/>
      <c r="J59" s="127">
        <f>D25</f>
        <v>500</v>
      </c>
      <c r="K59" s="325">
        <f t="shared" si="6"/>
        <v>500</v>
      </c>
      <c r="L59" s="32">
        <f t="shared" si="7"/>
        <v>7071.8160814947132</v>
      </c>
      <c r="M59" s="70">
        <f t="shared" si="1"/>
        <v>95234.424230965858</v>
      </c>
      <c r="N59" s="21">
        <f>NPV(D22,L38:L59)</f>
        <v>95234.424230965858</v>
      </c>
      <c r="O59" s="67">
        <f t="shared" si="0"/>
        <v>0</v>
      </c>
      <c r="P59" s="33">
        <f t="shared" si="10"/>
        <v>98.591355227795745</v>
      </c>
      <c r="Q59" s="33">
        <f t="shared" si="10"/>
        <v>0</v>
      </c>
      <c r="R59" s="43">
        <f>R58*(1+D27)</f>
        <v>76800</v>
      </c>
      <c r="S59" s="21">
        <f>R59*D23*P59/1000+R59*(1-D23)*D24/1000</f>
        <v>7571.8160814947132</v>
      </c>
      <c r="T59" s="64">
        <v>21</v>
      </c>
      <c r="U59" s="66">
        <f t="shared" si="3"/>
        <v>156618.15024058943</v>
      </c>
      <c r="V59" s="66">
        <f>(V58+(D76+D77))</f>
        <v>82726</v>
      </c>
    </row>
    <row r="60" spans="1:22" ht="15.5" x14ac:dyDescent="0.35">
      <c r="A60" s="24">
        <v>22</v>
      </c>
      <c r="B60" s="33">
        <f>(1+D10)*B59</f>
        <v>99.577268780073709</v>
      </c>
      <c r="C60" s="24">
        <v>0</v>
      </c>
      <c r="D60" s="33">
        <f>(D13/1000*B60)+C60</f>
        <v>7966.1815024058969</v>
      </c>
      <c r="E60" s="117"/>
      <c r="F60" s="118"/>
      <c r="G60" s="321" t="s">
        <v>4</v>
      </c>
      <c r="H60" s="321"/>
      <c r="I60" s="126"/>
      <c r="J60" s="127">
        <f>D25</f>
        <v>500</v>
      </c>
      <c r="K60" s="325">
        <f t="shared" si="6"/>
        <v>500</v>
      </c>
      <c r="L60" s="32">
        <f t="shared" si="7"/>
        <v>7147.5342423096608</v>
      </c>
      <c r="M60" s="70">
        <f t="shared" si="1"/>
        <v>102381.95847327552</v>
      </c>
      <c r="N60" s="21">
        <f>NPV(D22,L38:L60)</f>
        <v>102381.95847327552</v>
      </c>
      <c r="O60" s="67">
        <f t="shared" si="0"/>
        <v>0</v>
      </c>
      <c r="P60" s="33">
        <f t="shared" si="10"/>
        <v>99.577268780073709</v>
      </c>
      <c r="Q60" s="33">
        <f t="shared" si="10"/>
        <v>0</v>
      </c>
      <c r="R60" s="43">
        <f>R59*(1+D27)</f>
        <v>76800</v>
      </c>
      <c r="S60" s="21">
        <f>R60*D23*P60/1000+R60*(1-D23)*D24/1000</f>
        <v>7647.5342423096608</v>
      </c>
      <c r="T60" s="64">
        <v>22</v>
      </c>
      <c r="U60" s="66">
        <f t="shared" si="3"/>
        <v>164584.33174299533</v>
      </c>
      <c r="V60" s="66">
        <f>(V59+(D76+D77))</f>
        <v>85082</v>
      </c>
    </row>
    <row r="61" spans="1:22" ht="15.5" x14ac:dyDescent="0.35">
      <c r="A61" s="24">
        <v>23</v>
      </c>
      <c r="B61" s="33">
        <f>(1+D10)*B60</f>
        <v>100.57304146787445</v>
      </c>
      <c r="C61" s="24">
        <v>0</v>
      </c>
      <c r="D61" s="33">
        <f>(D13/1000*B61)+C61</f>
        <v>8045.8433174299553</v>
      </c>
      <c r="E61" s="117"/>
      <c r="F61" s="136"/>
      <c r="G61" s="322" t="s">
        <v>4</v>
      </c>
      <c r="H61" s="321"/>
      <c r="I61" s="126"/>
      <c r="J61" s="127">
        <f>D25</f>
        <v>500</v>
      </c>
      <c r="K61" s="325">
        <f t="shared" si="6"/>
        <v>500</v>
      </c>
      <c r="L61" s="32">
        <f t="shared" si="7"/>
        <v>7224.0095847327575</v>
      </c>
      <c r="M61" s="70">
        <f t="shared" si="1"/>
        <v>109605.96805800828</v>
      </c>
      <c r="N61" s="21">
        <f>NPV(D22,L38:L61)</f>
        <v>109605.96805800828</v>
      </c>
      <c r="O61" s="67">
        <f t="shared" si="0"/>
        <v>0</v>
      </c>
      <c r="P61" s="33">
        <f t="shared" si="10"/>
        <v>100.57304146787445</v>
      </c>
      <c r="Q61" s="33">
        <f t="shared" si="10"/>
        <v>0</v>
      </c>
      <c r="R61" s="43">
        <f>R60*(1+D27)</f>
        <v>76800</v>
      </c>
      <c r="S61" s="21">
        <f>R61*D23*P61/1000+R61*(1-D23)*D24/1000</f>
        <v>7724.0095847327575</v>
      </c>
      <c r="T61" s="64">
        <v>23</v>
      </c>
      <c r="U61" s="66">
        <f t="shared" si="3"/>
        <v>172630.17506042527</v>
      </c>
      <c r="V61" s="66">
        <f>(V60+(D76+D77))</f>
        <v>87438</v>
      </c>
    </row>
    <row r="62" spans="1:22" ht="15.5" x14ac:dyDescent="0.35">
      <c r="A62" s="24">
        <v>24</v>
      </c>
      <c r="B62" s="33">
        <f>(1+$D$10)*B61</f>
        <v>101.5787718825532</v>
      </c>
      <c r="C62" s="24">
        <v>0</v>
      </c>
      <c r="D62" s="137">
        <f>($D$13/1000*B62)+C62</f>
        <v>8126.3017506042561</v>
      </c>
      <c r="E62" s="138"/>
      <c r="F62" s="139"/>
      <c r="G62" s="323" t="s">
        <v>4</v>
      </c>
      <c r="H62" s="324"/>
      <c r="I62" s="126"/>
      <c r="J62" s="140">
        <f>D25</f>
        <v>500</v>
      </c>
      <c r="K62" s="325">
        <f t="shared" si="6"/>
        <v>500</v>
      </c>
      <c r="L62" s="32">
        <f t="shared" si="7"/>
        <v>7301.2496805800856</v>
      </c>
      <c r="M62" s="70">
        <f t="shared" si="1"/>
        <v>116907.21773858837</v>
      </c>
      <c r="N62" s="21">
        <f>NPV($D$22,$L$38:L62)</f>
        <v>116907.21773858837</v>
      </c>
      <c r="O62" s="67">
        <f t="shared" si="0"/>
        <v>0</v>
      </c>
      <c r="P62" s="33">
        <f t="shared" si="10"/>
        <v>101.5787718825532</v>
      </c>
      <c r="Q62" s="33">
        <f t="shared" si="10"/>
        <v>0</v>
      </c>
      <c r="R62" s="43">
        <f>R61*(1+$D$27)</f>
        <v>76800</v>
      </c>
      <c r="S62" s="21">
        <f>R62*D23*P62/1000+R62*(1-D23)*D24/1000</f>
        <v>7801.2496805800856</v>
      </c>
      <c r="T62" s="64">
        <v>24</v>
      </c>
      <c r="U62" s="66">
        <f t="shared" si="3"/>
        <v>180756.47681102954</v>
      </c>
      <c r="V62" s="66">
        <f>(V61+(D76+D77))</f>
        <v>89794</v>
      </c>
    </row>
    <row r="63" spans="1:22" ht="15.5" x14ac:dyDescent="0.35">
      <c r="A63" s="24">
        <v>25</v>
      </c>
      <c r="B63" s="33">
        <f>(1+$D$10)*B62</f>
        <v>102.59455960137873</v>
      </c>
      <c r="C63" s="24">
        <v>0</v>
      </c>
      <c r="D63" s="137">
        <f>($D$13/1000*B63)+C63</f>
        <v>8207.5647681102982</v>
      </c>
      <c r="E63" s="138"/>
      <c r="F63" s="139"/>
      <c r="G63" s="323" t="s">
        <v>4</v>
      </c>
      <c r="H63" s="324"/>
      <c r="I63" s="126"/>
      <c r="J63" s="140">
        <f>D25</f>
        <v>500</v>
      </c>
      <c r="K63" s="325">
        <f t="shared" si="6"/>
        <v>500</v>
      </c>
      <c r="L63" s="32">
        <f t="shared" si="7"/>
        <v>7379.2621773858873</v>
      </c>
      <c r="M63" s="70">
        <f t="shared" si="1"/>
        <v>124286.47991597425</v>
      </c>
      <c r="N63" s="21">
        <f>NPV($D$22,$L$38:L63)</f>
        <v>124286.47991597425</v>
      </c>
      <c r="O63" s="67">
        <f t="shared" si="0"/>
        <v>0</v>
      </c>
      <c r="P63" s="33">
        <f t="shared" si="10"/>
        <v>102.59455960137873</v>
      </c>
      <c r="Q63" s="33">
        <f t="shared" si="10"/>
        <v>0</v>
      </c>
      <c r="R63" s="43">
        <f>R62*(1+$D$27)</f>
        <v>76800</v>
      </c>
      <c r="S63" s="21">
        <f>R63*D23*P63/1000+R63*(1-D23)*D24/1000</f>
        <v>7879.2621773858873</v>
      </c>
      <c r="T63" s="64">
        <v>25</v>
      </c>
      <c r="U63" s="66">
        <f t="shared" si="3"/>
        <v>188964.04157913983</v>
      </c>
      <c r="V63" s="66">
        <f>(V62+(D76+D77))</f>
        <v>92150</v>
      </c>
    </row>
    <row r="64" spans="1:22" ht="15.5" x14ac:dyDescent="0.35">
      <c r="A64" s="12"/>
      <c r="B64" s="12"/>
      <c r="C64" s="12"/>
      <c r="D64" s="128">
        <f>SUM(D38:D63)</f>
        <v>188964.04157913983</v>
      </c>
      <c r="E64" s="129"/>
      <c r="F64" s="130" t="s">
        <v>4</v>
      </c>
      <c r="G64" s="56">
        <f>SUM(G38:G63)</f>
        <v>225</v>
      </c>
      <c r="H64" s="130"/>
      <c r="I64" s="130"/>
      <c r="J64" s="56">
        <f>SUM(J38:J63)</f>
        <v>12500</v>
      </c>
      <c r="K64" s="56">
        <f>SUM(K38:K63)</f>
        <v>50975</v>
      </c>
      <c r="L64" s="131"/>
      <c r="M64" s="34"/>
      <c r="N64" s="100"/>
      <c r="O64" s="35">
        <f>SUM(O38:O63)</f>
        <v>6</v>
      </c>
      <c r="P64" s="36">
        <f>AVERAGE(P38:P63)</f>
        <v>90.84809691304801</v>
      </c>
      <c r="Q64" s="36">
        <f>AVERAGE(Q38:Q63)</f>
        <v>0</v>
      </c>
      <c r="R64" s="37">
        <f>SUM(R38:R63)</f>
        <v>1996800</v>
      </c>
      <c r="S64" s="132">
        <f>NPV(S22,S38:S63)</f>
        <v>175261.47991597423</v>
      </c>
      <c r="T64" s="100"/>
      <c r="U64" s="100"/>
      <c r="V64" s="100"/>
    </row>
    <row r="65" spans="1:6" ht="15.65" customHeight="1" x14ac:dyDescent="0.35">
      <c r="A65" s="8"/>
    </row>
    <row r="66" spans="1:6" s="96" customFormat="1" ht="15.65" customHeight="1" x14ac:dyDescent="0.35">
      <c r="A66" s="8"/>
    </row>
    <row r="67" spans="1:6" s="96" customFormat="1" ht="15.65" customHeight="1" x14ac:dyDescent="0.35">
      <c r="A67" s="8"/>
    </row>
    <row r="68" spans="1:6" ht="15.5" x14ac:dyDescent="0.35">
      <c r="A68" s="22" t="s">
        <v>76</v>
      </c>
      <c r="B68" s="12"/>
      <c r="C68" s="12"/>
      <c r="D68" s="12"/>
    </row>
    <row r="69" spans="1:6" ht="15.5" x14ac:dyDescent="0.35">
      <c r="A69" s="365" t="s">
        <v>77</v>
      </c>
      <c r="B69" s="366"/>
      <c r="C69" s="367"/>
      <c r="D69" s="19">
        <f>G110</f>
        <v>76800</v>
      </c>
      <c r="E69" t="s">
        <v>27</v>
      </c>
      <c r="F69" t="s">
        <v>4</v>
      </c>
    </row>
    <row r="70" spans="1:6" ht="15.5" x14ac:dyDescent="0.35">
      <c r="A70" s="368" t="s">
        <v>78</v>
      </c>
      <c r="B70" s="369"/>
      <c r="C70" s="370"/>
      <c r="D70" s="98">
        <v>1</v>
      </c>
      <c r="F70" t="s">
        <v>79</v>
      </c>
    </row>
    <row r="71" spans="1:6" ht="15.5" x14ac:dyDescent="0.35">
      <c r="A71" s="365" t="s">
        <v>80</v>
      </c>
      <c r="B71" s="366"/>
      <c r="C71" s="367"/>
      <c r="D71" s="23">
        <f>(H110/G110)</f>
        <v>0</v>
      </c>
    </row>
    <row r="72" spans="1:6" ht="15.5" x14ac:dyDescent="0.35">
      <c r="A72" s="371" t="s">
        <v>81</v>
      </c>
      <c r="B72" s="372"/>
      <c r="C72" s="373"/>
      <c r="D72" s="284">
        <f>C110</f>
        <v>80000</v>
      </c>
      <c r="E72" t="s">
        <v>82</v>
      </c>
    </row>
    <row r="73" spans="1:6" ht="15.5" x14ac:dyDescent="0.35">
      <c r="A73" s="368" t="s">
        <v>84</v>
      </c>
      <c r="B73" s="338"/>
      <c r="C73" s="339"/>
      <c r="D73" s="285">
        <v>25</v>
      </c>
      <c r="E73" t="s">
        <v>85</v>
      </c>
      <c r="F73" t="s">
        <v>4</v>
      </c>
    </row>
    <row r="74" spans="1:6" ht="15.5" x14ac:dyDescent="0.35">
      <c r="A74" s="368" t="s">
        <v>86</v>
      </c>
      <c r="B74" s="338"/>
      <c r="C74" s="339"/>
      <c r="D74" s="286">
        <f>I110/C110</f>
        <v>0.96</v>
      </c>
      <c r="E74" t="s">
        <v>4</v>
      </c>
      <c r="F74" t="s">
        <v>4</v>
      </c>
    </row>
    <row r="75" spans="1:6" ht="15.5" x14ac:dyDescent="0.35">
      <c r="A75" s="374" t="s">
        <v>229</v>
      </c>
      <c r="B75" s="350"/>
      <c r="C75" s="358"/>
      <c r="D75" s="292">
        <f>D19-D19*D20</f>
        <v>38250</v>
      </c>
      <c r="F75" s="100" t="s">
        <v>232</v>
      </c>
    </row>
    <row r="76" spans="1:6" ht="15.5" x14ac:dyDescent="0.35">
      <c r="A76" s="375" t="s">
        <v>121</v>
      </c>
      <c r="B76" s="375"/>
      <c r="C76" s="375"/>
      <c r="D76" s="65">
        <f>(M110)*D28/100</f>
        <v>2100</v>
      </c>
    </row>
    <row r="77" spans="1:6" s="100" customFormat="1" ht="15.5" x14ac:dyDescent="0.35">
      <c r="A77" s="380" t="s">
        <v>140</v>
      </c>
      <c r="B77" s="381"/>
      <c r="C77" s="382"/>
      <c r="D77" s="108">
        <f>(L110/1000*D9)</f>
        <v>256.00000000000028</v>
      </c>
    </row>
    <row r="78" spans="1:6" ht="15.5" x14ac:dyDescent="0.35">
      <c r="A78" s="376" t="s">
        <v>108</v>
      </c>
      <c r="B78" s="376"/>
      <c r="C78" s="376"/>
      <c r="D78" s="45">
        <f>L110*D73</f>
        <v>80000.000000000087</v>
      </c>
      <c r="E78" t="s">
        <v>27</v>
      </c>
    </row>
    <row r="79" spans="1:6" ht="15.5" x14ac:dyDescent="0.35">
      <c r="A79" s="376" t="s">
        <v>87</v>
      </c>
      <c r="B79" s="376"/>
      <c r="C79" s="376"/>
      <c r="D79" s="290">
        <f>(M110*D73)</f>
        <v>600000</v>
      </c>
      <c r="E79" t="s">
        <v>27</v>
      </c>
      <c r="F79" t="s">
        <v>4</v>
      </c>
    </row>
    <row r="80" spans="1:6" x14ac:dyDescent="0.35">
      <c r="E80" t="s">
        <v>4</v>
      </c>
    </row>
    <row r="81" spans="1:9" ht="16" thickBot="1" x14ac:dyDescent="0.4">
      <c r="A81" s="25" t="s">
        <v>88</v>
      </c>
      <c r="B81" s="12"/>
      <c r="C81" s="12"/>
      <c r="D81" s="12"/>
      <c r="E81" t="s">
        <v>4</v>
      </c>
      <c r="F81" t="s">
        <v>4</v>
      </c>
    </row>
    <row r="82" spans="1:9" ht="15.5" x14ac:dyDescent="0.35">
      <c r="A82" s="377" t="s">
        <v>89</v>
      </c>
      <c r="B82" s="378"/>
      <c r="C82" s="379"/>
      <c r="D82" s="26">
        <f>N63</f>
        <v>124286.47991597425</v>
      </c>
    </row>
    <row r="83" spans="1:9" ht="15.5" x14ac:dyDescent="0.35">
      <c r="A83" s="364" t="s">
        <v>90</v>
      </c>
      <c r="B83" s="338"/>
      <c r="C83" s="339"/>
      <c r="D83" s="27">
        <f>O64</f>
        <v>6</v>
      </c>
    </row>
    <row r="84" spans="1:9" ht="15.5" x14ac:dyDescent="0.35">
      <c r="A84" s="364" t="s">
        <v>107</v>
      </c>
      <c r="B84" s="338"/>
      <c r="C84" s="339"/>
      <c r="D84" s="28">
        <f>D75/J110</f>
        <v>6.2255859375</v>
      </c>
    </row>
    <row r="85" spans="1:9" ht="15.5" x14ac:dyDescent="0.35">
      <c r="A85" s="364" t="s">
        <v>38</v>
      </c>
      <c r="B85" s="385"/>
      <c r="C85" s="386"/>
      <c r="D85" s="141">
        <f>IRR(L38:L63,0.1)</f>
        <v>0.16158980231660225</v>
      </c>
      <c r="E85" t="s">
        <v>4</v>
      </c>
      <c r="F85" t="s">
        <v>4</v>
      </c>
    </row>
    <row r="86" spans="1:9" ht="16" thickBot="1" x14ac:dyDescent="0.4">
      <c r="A86" s="387" t="s">
        <v>152</v>
      </c>
      <c r="B86" s="388"/>
      <c r="C86" s="389"/>
      <c r="D86" s="142">
        <f>K64/R64*1000</f>
        <v>25.528345352564102</v>
      </c>
      <c r="E86" t="s">
        <v>47</v>
      </c>
    </row>
    <row r="88" spans="1:9" x14ac:dyDescent="0.35">
      <c r="A88" s="31" t="s">
        <v>91</v>
      </c>
    </row>
    <row r="89" spans="1:9" ht="15.5" x14ac:dyDescent="0.35">
      <c r="A89" s="390" t="s">
        <v>92</v>
      </c>
      <c r="B89" s="390"/>
      <c r="C89" s="390"/>
      <c r="D89" s="288">
        <v>84</v>
      </c>
      <c r="E89" t="s">
        <v>93</v>
      </c>
      <c r="F89" t="s">
        <v>4</v>
      </c>
      <c r="G89" t="s">
        <v>6</v>
      </c>
      <c r="H89" s="100">
        <v>2024</v>
      </c>
      <c r="I89" s="10" t="s">
        <v>270</v>
      </c>
    </row>
    <row r="90" spans="1:9" ht="15.5" x14ac:dyDescent="0.35">
      <c r="A90" s="390" t="s">
        <v>95</v>
      </c>
      <c r="B90" s="390"/>
      <c r="C90" s="390"/>
      <c r="D90" s="288">
        <v>106</v>
      </c>
      <c r="E90" t="s">
        <v>93</v>
      </c>
      <c r="G90" t="s">
        <v>6</v>
      </c>
      <c r="H90" s="100">
        <v>2024</v>
      </c>
      <c r="I90" s="10" t="s">
        <v>270</v>
      </c>
    </row>
    <row r="91" spans="1:9" ht="15.5" x14ac:dyDescent="0.35">
      <c r="A91" s="390" t="s">
        <v>96</v>
      </c>
      <c r="B91" s="390"/>
      <c r="C91" s="390"/>
      <c r="D91" s="289">
        <v>261.72000000000003</v>
      </c>
      <c r="E91" t="s">
        <v>93</v>
      </c>
      <c r="G91" t="s">
        <v>6</v>
      </c>
      <c r="H91">
        <v>2019</v>
      </c>
      <c r="I91" s="10" t="s">
        <v>94</v>
      </c>
    </row>
    <row r="92" spans="1:9" ht="15.5" x14ac:dyDescent="0.35">
      <c r="A92" s="390" t="s">
        <v>97</v>
      </c>
      <c r="B92" s="390"/>
      <c r="C92" s="390"/>
      <c r="D92" s="290">
        <f>(G110*D91)/1000</f>
        <v>20100.096000000005</v>
      </c>
      <c r="E92" t="s">
        <v>98</v>
      </c>
      <c r="F92" t="s">
        <v>4</v>
      </c>
    </row>
    <row r="93" spans="1:9" ht="15.5" x14ac:dyDescent="0.35">
      <c r="A93" s="390" t="s">
        <v>120</v>
      </c>
      <c r="B93" s="390"/>
      <c r="C93" s="390"/>
      <c r="D93" s="290">
        <f>(G110*D91)/1000-(M110*D89)/1000</f>
        <v>18084.096000000005</v>
      </c>
      <c r="E93" t="s">
        <v>98</v>
      </c>
      <c r="G93" s="253" t="s">
        <v>271</v>
      </c>
      <c r="H93" s="253"/>
      <c r="I93" s="10" t="s">
        <v>272</v>
      </c>
    </row>
    <row r="94" spans="1:9" x14ac:dyDescent="0.35">
      <c r="A94" s="57"/>
      <c r="B94" s="57"/>
      <c r="C94" s="57"/>
      <c r="D94" s="57"/>
    </row>
    <row r="95" spans="1:9" x14ac:dyDescent="0.35">
      <c r="A95" s="8" t="s">
        <v>50</v>
      </c>
    </row>
    <row r="96" spans="1:9" x14ac:dyDescent="0.35">
      <c r="A96" s="9" t="s">
        <v>51</v>
      </c>
    </row>
    <row r="97" spans="1:13" ht="87" x14ac:dyDescent="0.35">
      <c r="A97" s="12"/>
      <c r="B97" s="12"/>
      <c r="C97" s="134" t="s">
        <v>52</v>
      </c>
      <c r="D97" s="13" t="s">
        <v>53</v>
      </c>
      <c r="E97" s="13" t="s">
        <v>54</v>
      </c>
      <c r="G97" s="13" t="s">
        <v>55</v>
      </c>
      <c r="H97" s="13" t="s">
        <v>56</v>
      </c>
      <c r="I97" s="13" t="s">
        <v>57</v>
      </c>
      <c r="J97" s="13" t="s">
        <v>58</v>
      </c>
      <c r="K97" s="13" t="s">
        <v>59</v>
      </c>
      <c r="L97" s="14" t="s">
        <v>60</v>
      </c>
      <c r="M97" s="15" t="s">
        <v>61</v>
      </c>
    </row>
    <row r="98" spans="1:13" ht="15.5" x14ac:dyDescent="0.35">
      <c r="A98" s="383" t="s">
        <v>62</v>
      </c>
      <c r="B98" s="384"/>
      <c r="C98" s="135">
        <f>$D$13/12</f>
        <v>6666.666666666667</v>
      </c>
      <c r="D98" s="133">
        <f t="shared" ref="D98:D109" si="11">$D$111</f>
        <v>80</v>
      </c>
      <c r="E98" s="63">
        <f t="shared" ref="E98:E109" si="12">$D$24</f>
        <v>0</v>
      </c>
      <c r="G98" s="17">
        <f>(D26/12)</f>
        <v>6400</v>
      </c>
      <c r="H98" s="18">
        <f t="shared" ref="H98:H109" si="13">IF(G98-C98&lt;0,0,G98-C98)</f>
        <v>0</v>
      </c>
      <c r="I98" s="19">
        <f t="shared" ref="I98:I109" si="14">G98-H98</f>
        <v>6400</v>
      </c>
      <c r="J98" s="18">
        <f t="shared" ref="J98:J109" si="15">I98/1000*D98</f>
        <v>512</v>
      </c>
      <c r="K98" s="18">
        <f t="shared" ref="K98:K109" si="16">E98*H98/100</f>
        <v>0</v>
      </c>
      <c r="L98" s="43">
        <f t="shared" ref="L98:L109" si="17">C98-I98</f>
        <v>266.66666666666697</v>
      </c>
      <c r="M98" s="55">
        <f>(G98/D18)</f>
        <v>2000</v>
      </c>
    </row>
    <row r="99" spans="1:13" ht="15.5" x14ac:dyDescent="0.35">
      <c r="A99" s="383" t="s">
        <v>63</v>
      </c>
      <c r="B99" s="384"/>
      <c r="C99" s="135">
        <f t="shared" ref="C99:C109" si="18">$D$13/12</f>
        <v>6666.666666666667</v>
      </c>
      <c r="D99" s="133">
        <f t="shared" si="11"/>
        <v>80</v>
      </c>
      <c r="E99" s="63">
        <f t="shared" si="12"/>
        <v>0</v>
      </c>
      <c r="G99" s="17">
        <f>(D26/12)</f>
        <v>6400</v>
      </c>
      <c r="H99" s="18">
        <f t="shared" si="13"/>
        <v>0</v>
      </c>
      <c r="I99" s="19">
        <f t="shared" si="14"/>
        <v>6400</v>
      </c>
      <c r="J99" s="18">
        <f t="shared" si="15"/>
        <v>512</v>
      </c>
      <c r="K99" s="18">
        <f t="shared" si="16"/>
        <v>0</v>
      </c>
      <c r="L99" s="43">
        <f t="shared" si="17"/>
        <v>266.66666666666697</v>
      </c>
      <c r="M99" s="55">
        <f>(G99/D18)</f>
        <v>2000</v>
      </c>
    </row>
    <row r="100" spans="1:13" ht="15.5" x14ac:dyDescent="0.35">
      <c r="A100" s="383" t="s">
        <v>64</v>
      </c>
      <c r="B100" s="384"/>
      <c r="C100" s="135">
        <f t="shared" si="18"/>
        <v>6666.666666666667</v>
      </c>
      <c r="D100" s="133">
        <f t="shared" si="11"/>
        <v>80</v>
      </c>
      <c r="E100" s="63">
        <f t="shared" si="12"/>
        <v>0</v>
      </c>
      <c r="G100" s="17">
        <f>(D26/12)</f>
        <v>6400</v>
      </c>
      <c r="H100" s="18">
        <f t="shared" si="13"/>
        <v>0</v>
      </c>
      <c r="I100" s="19">
        <f t="shared" si="14"/>
        <v>6400</v>
      </c>
      <c r="J100" s="18">
        <f t="shared" si="15"/>
        <v>512</v>
      </c>
      <c r="K100" s="18">
        <f t="shared" si="16"/>
        <v>0</v>
      </c>
      <c r="L100" s="43">
        <f t="shared" si="17"/>
        <v>266.66666666666697</v>
      </c>
      <c r="M100" s="55">
        <f>(G100/D18)</f>
        <v>2000</v>
      </c>
    </row>
    <row r="101" spans="1:13" ht="15.5" x14ac:dyDescent="0.35">
      <c r="A101" s="383" t="s">
        <v>65</v>
      </c>
      <c r="B101" s="384"/>
      <c r="C101" s="135">
        <f t="shared" si="18"/>
        <v>6666.666666666667</v>
      </c>
      <c r="D101" s="133">
        <f t="shared" si="11"/>
        <v>80</v>
      </c>
      <c r="E101" s="63">
        <f t="shared" si="12"/>
        <v>0</v>
      </c>
      <c r="G101" s="17">
        <f>(D26/12)</f>
        <v>6400</v>
      </c>
      <c r="H101" s="18">
        <f t="shared" si="13"/>
        <v>0</v>
      </c>
      <c r="I101" s="19">
        <f t="shared" si="14"/>
        <v>6400</v>
      </c>
      <c r="J101" s="18">
        <f t="shared" si="15"/>
        <v>512</v>
      </c>
      <c r="K101" s="18">
        <f t="shared" si="16"/>
        <v>0</v>
      </c>
      <c r="L101" s="43">
        <f t="shared" si="17"/>
        <v>266.66666666666697</v>
      </c>
      <c r="M101" s="55">
        <f>(G101/D18)</f>
        <v>2000</v>
      </c>
    </row>
    <row r="102" spans="1:13" ht="15.5" x14ac:dyDescent="0.35">
      <c r="A102" s="383" t="s">
        <v>66</v>
      </c>
      <c r="B102" s="384"/>
      <c r="C102" s="135">
        <f t="shared" si="18"/>
        <v>6666.666666666667</v>
      </c>
      <c r="D102" s="133">
        <f t="shared" si="11"/>
        <v>80</v>
      </c>
      <c r="E102" s="63">
        <f t="shared" si="12"/>
        <v>0</v>
      </c>
      <c r="G102" s="17">
        <f>(D26/12)</f>
        <v>6400</v>
      </c>
      <c r="H102" s="18">
        <f t="shared" si="13"/>
        <v>0</v>
      </c>
      <c r="I102" s="19">
        <f t="shared" si="14"/>
        <v>6400</v>
      </c>
      <c r="J102" s="18">
        <f t="shared" si="15"/>
        <v>512</v>
      </c>
      <c r="K102" s="18">
        <f t="shared" si="16"/>
        <v>0</v>
      </c>
      <c r="L102" s="43">
        <f t="shared" si="17"/>
        <v>266.66666666666697</v>
      </c>
      <c r="M102" s="55">
        <f>(G102/D18)</f>
        <v>2000</v>
      </c>
    </row>
    <row r="103" spans="1:13" ht="15.5" x14ac:dyDescent="0.35">
      <c r="A103" s="383" t="s">
        <v>67</v>
      </c>
      <c r="B103" s="384"/>
      <c r="C103" s="135">
        <f t="shared" si="18"/>
        <v>6666.666666666667</v>
      </c>
      <c r="D103" s="133">
        <f t="shared" si="11"/>
        <v>80</v>
      </c>
      <c r="E103" s="63">
        <f t="shared" si="12"/>
        <v>0</v>
      </c>
      <c r="G103" s="17">
        <f>(D26/12)</f>
        <v>6400</v>
      </c>
      <c r="H103" s="18">
        <f t="shared" si="13"/>
        <v>0</v>
      </c>
      <c r="I103" s="19">
        <f t="shared" si="14"/>
        <v>6400</v>
      </c>
      <c r="J103" s="18">
        <f t="shared" si="15"/>
        <v>512</v>
      </c>
      <c r="K103" s="18">
        <f t="shared" si="16"/>
        <v>0</v>
      </c>
      <c r="L103" s="43">
        <f t="shared" si="17"/>
        <v>266.66666666666697</v>
      </c>
      <c r="M103" s="55">
        <f>(G103/D18)</f>
        <v>2000</v>
      </c>
    </row>
    <row r="104" spans="1:13" ht="15.5" x14ac:dyDescent="0.35">
      <c r="A104" s="383" t="s">
        <v>68</v>
      </c>
      <c r="B104" s="384"/>
      <c r="C104" s="135">
        <f t="shared" si="18"/>
        <v>6666.666666666667</v>
      </c>
      <c r="D104" s="133">
        <f t="shared" si="11"/>
        <v>80</v>
      </c>
      <c r="E104" s="63">
        <f t="shared" si="12"/>
        <v>0</v>
      </c>
      <c r="G104" s="17">
        <f>(D26/12)</f>
        <v>6400</v>
      </c>
      <c r="H104" s="18">
        <f t="shared" si="13"/>
        <v>0</v>
      </c>
      <c r="I104" s="19">
        <f t="shared" si="14"/>
        <v>6400</v>
      </c>
      <c r="J104" s="18">
        <f t="shared" si="15"/>
        <v>512</v>
      </c>
      <c r="K104" s="18">
        <f t="shared" si="16"/>
        <v>0</v>
      </c>
      <c r="L104" s="43">
        <f t="shared" si="17"/>
        <v>266.66666666666697</v>
      </c>
      <c r="M104" s="55">
        <f>(G104/D18)</f>
        <v>2000</v>
      </c>
    </row>
    <row r="105" spans="1:13" ht="15.5" x14ac:dyDescent="0.35">
      <c r="A105" s="383" t="s">
        <v>69</v>
      </c>
      <c r="B105" s="384"/>
      <c r="C105" s="135">
        <f t="shared" si="18"/>
        <v>6666.666666666667</v>
      </c>
      <c r="D105" s="133">
        <f t="shared" si="11"/>
        <v>80</v>
      </c>
      <c r="E105" s="63">
        <f t="shared" si="12"/>
        <v>0</v>
      </c>
      <c r="G105" s="17">
        <f>(D26/12)</f>
        <v>6400</v>
      </c>
      <c r="H105" s="18">
        <f t="shared" si="13"/>
        <v>0</v>
      </c>
      <c r="I105" s="19">
        <f t="shared" si="14"/>
        <v>6400</v>
      </c>
      <c r="J105" s="18">
        <f t="shared" si="15"/>
        <v>512</v>
      </c>
      <c r="K105" s="18">
        <f t="shared" si="16"/>
        <v>0</v>
      </c>
      <c r="L105" s="43">
        <f t="shared" si="17"/>
        <v>266.66666666666697</v>
      </c>
      <c r="M105" s="55">
        <f>(G105/D18)</f>
        <v>2000</v>
      </c>
    </row>
    <row r="106" spans="1:13" ht="15.5" x14ac:dyDescent="0.35">
      <c r="A106" s="383" t="s">
        <v>70</v>
      </c>
      <c r="B106" s="384"/>
      <c r="C106" s="135">
        <f t="shared" si="18"/>
        <v>6666.666666666667</v>
      </c>
      <c r="D106" s="133">
        <f t="shared" si="11"/>
        <v>80</v>
      </c>
      <c r="E106" s="63">
        <f t="shared" si="12"/>
        <v>0</v>
      </c>
      <c r="G106" s="17">
        <f>(D26/12)</f>
        <v>6400</v>
      </c>
      <c r="H106" s="18">
        <f t="shared" si="13"/>
        <v>0</v>
      </c>
      <c r="I106" s="19">
        <f t="shared" si="14"/>
        <v>6400</v>
      </c>
      <c r="J106" s="18">
        <f t="shared" si="15"/>
        <v>512</v>
      </c>
      <c r="K106" s="18">
        <f t="shared" si="16"/>
        <v>0</v>
      </c>
      <c r="L106" s="43">
        <f t="shared" si="17"/>
        <v>266.66666666666697</v>
      </c>
      <c r="M106" s="55">
        <f>(G106/D18)</f>
        <v>2000</v>
      </c>
    </row>
    <row r="107" spans="1:13" ht="15.5" x14ac:dyDescent="0.35">
      <c r="A107" s="383" t="s">
        <v>71</v>
      </c>
      <c r="B107" s="384"/>
      <c r="C107" s="135">
        <f t="shared" si="18"/>
        <v>6666.666666666667</v>
      </c>
      <c r="D107" s="133">
        <f t="shared" si="11"/>
        <v>80</v>
      </c>
      <c r="E107" s="63">
        <f t="shared" si="12"/>
        <v>0</v>
      </c>
      <c r="G107" s="17">
        <f>(D26/12)</f>
        <v>6400</v>
      </c>
      <c r="H107" s="18">
        <f t="shared" si="13"/>
        <v>0</v>
      </c>
      <c r="I107" s="19">
        <f t="shared" si="14"/>
        <v>6400</v>
      </c>
      <c r="J107" s="18">
        <f t="shared" si="15"/>
        <v>512</v>
      </c>
      <c r="K107" s="18">
        <f t="shared" si="16"/>
        <v>0</v>
      </c>
      <c r="L107" s="43">
        <f t="shared" si="17"/>
        <v>266.66666666666697</v>
      </c>
      <c r="M107" s="55">
        <f>(G107/D18)</f>
        <v>2000</v>
      </c>
    </row>
    <row r="108" spans="1:13" ht="15.5" x14ac:dyDescent="0.35">
      <c r="A108" s="383" t="s">
        <v>72</v>
      </c>
      <c r="B108" s="384"/>
      <c r="C108" s="135">
        <f t="shared" si="18"/>
        <v>6666.666666666667</v>
      </c>
      <c r="D108" s="133">
        <f t="shared" si="11"/>
        <v>80</v>
      </c>
      <c r="E108" s="63">
        <f t="shared" si="12"/>
        <v>0</v>
      </c>
      <c r="G108" s="17">
        <f>(D26/12)</f>
        <v>6400</v>
      </c>
      <c r="H108" s="18">
        <f t="shared" si="13"/>
        <v>0</v>
      </c>
      <c r="I108" s="19">
        <f t="shared" si="14"/>
        <v>6400</v>
      </c>
      <c r="J108" s="18">
        <f t="shared" si="15"/>
        <v>512</v>
      </c>
      <c r="K108" s="18">
        <f t="shared" si="16"/>
        <v>0</v>
      </c>
      <c r="L108" s="43">
        <f t="shared" si="17"/>
        <v>266.66666666666697</v>
      </c>
      <c r="M108" s="55">
        <f>(G108/D18)</f>
        <v>2000</v>
      </c>
    </row>
    <row r="109" spans="1:13" ht="15.5" x14ac:dyDescent="0.35">
      <c r="A109" s="383" t="s">
        <v>73</v>
      </c>
      <c r="B109" s="384"/>
      <c r="C109" s="135">
        <f t="shared" si="18"/>
        <v>6666.666666666667</v>
      </c>
      <c r="D109" s="133">
        <f t="shared" si="11"/>
        <v>80</v>
      </c>
      <c r="E109" s="63">
        <f t="shared" si="12"/>
        <v>0</v>
      </c>
      <c r="G109" s="17">
        <f>(D26/12)</f>
        <v>6400</v>
      </c>
      <c r="H109" s="18">
        <f t="shared" si="13"/>
        <v>0</v>
      </c>
      <c r="I109" s="19">
        <f t="shared" si="14"/>
        <v>6400</v>
      </c>
      <c r="J109" s="18">
        <f t="shared" si="15"/>
        <v>512</v>
      </c>
      <c r="K109" s="18">
        <f t="shared" si="16"/>
        <v>0</v>
      </c>
      <c r="L109" s="43">
        <f t="shared" si="17"/>
        <v>266.66666666666697</v>
      </c>
      <c r="M109" s="55">
        <f>(G109/D18)</f>
        <v>2000</v>
      </c>
    </row>
    <row r="110" spans="1:13" ht="15.5" x14ac:dyDescent="0.35">
      <c r="A110" s="391" t="s">
        <v>74</v>
      </c>
      <c r="B110" s="392"/>
      <c r="C110" s="20">
        <f>SUM(C98:C109)</f>
        <v>80000</v>
      </c>
      <c r="D110" s="12"/>
      <c r="E110" s="12"/>
      <c r="G110" s="18">
        <f t="shared" ref="G110:L110" si="19">SUM(G98:G109)</f>
        <v>76800</v>
      </c>
      <c r="H110" s="18">
        <f t="shared" si="19"/>
        <v>0</v>
      </c>
      <c r="I110" s="19">
        <f t="shared" si="19"/>
        <v>76800</v>
      </c>
      <c r="J110" s="21">
        <f t="shared" si="19"/>
        <v>6144</v>
      </c>
      <c r="K110" s="18">
        <f t="shared" si="19"/>
        <v>0</v>
      </c>
      <c r="L110" s="43">
        <f t="shared" si="19"/>
        <v>3200.0000000000036</v>
      </c>
      <c r="M110" s="55">
        <f>(G110/D18)</f>
        <v>24000</v>
      </c>
    </row>
    <row r="111" spans="1:13" ht="15.5" x14ac:dyDescent="0.35">
      <c r="A111" s="391" t="s">
        <v>75</v>
      </c>
      <c r="B111" s="393"/>
      <c r="C111" s="12"/>
      <c r="D111" s="16">
        <f>D9</f>
        <v>80</v>
      </c>
      <c r="E111" s="16">
        <f>D24</f>
        <v>0</v>
      </c>
    </row>
    <row r="113" spans="5:5" x14ac:dyDescent="0.35">
      <c r="E113" t="s">
        <v>4</v>
      </c>
    </row>
  </sheetData>
  <mergeCells count="56">
    <mergeCell ref="A25:C25"/>
    <mergeCell ref="A1:L1"/>
    <mergeCell ref="A9:C9"/>
    <mergeCell ref="A10:C10"/>
    <mergeCell ref="A11:C11"/>
    <mergeCell ref="A18:C18"/>
    <mergeCell ref="A19:C19"/>
    <mergeCell ref="A20:C20"/>
    <mergeCell ref="A21:C21"/>
    <mergeCell ref="A22:C22"/>
    <mergeCell ref="A23:C23"/>
    <mergeCell ref="A24:C24"/>
    <mergeCell ref="A12:C12"/>
    <mergeCell ref="A13:C13"/>
    <mergeCell ref="A14:C14"/>
    <mergeCell ref="A100:B100"/>
    <mergeCell ref="A101:B101"/>
    <mergeCell ref="A102:B102"/>
    <mergeCell ref="A103:B103"/>
    <mergeCell ref="A26:C26"/>
    <mergeCell ref="A27:C27"/>
    <mergeCell ref="A28:C28"/>
    <mergeCell ref="A29:C29"/>
    <mergeCell ref="A30:C30"/>
    <mergeCell ref="A31:C31"/>
    <mergeCell ref="A74:C74"/>
    <mergeCell ref="A69:C69"/>
    <mergeCell ref="A70:C70"/>
    <mergeCell ref="A71:C71"/>
    <mergeCell ref="A72:C72"/>
    <mergeCell ref="A73:C73"/>
    <mergeCell ref="A110:B110"/>
    <mergeCell ref="A111:B111"/>
    <mergeCell ref="A83:C83"/>
    <mergeCell ref="A104:B104"/>
    <mergeCell ref="A105:B105"/>
    <mergeCell ref="A106:B106"/>
    <mergeCell ref="A107:B107"/>
    <mergeCell ref="A108:B108"/>
    <mergeCell ref="A109:B109"/>
    <mergeCell ref="A98:B98"/>
    <mergeCell ref="A99:B99"/>
    <mergeCell ref="A92:C92"/>
    <mergeCell ref="A93:C93"/>
    <mergeCell ref="A84:C84"/>
    <mergeCell ref="A85:C85"/>
    <mergeCell ref="A86:C86"/>
    <mergeCell ref="A89:C89"/>
    <mergeCell ref="A90:C90"/>
    <mergeCell ref="A91:C91"/>
    <mergeCell ref="A75:C75"/>
    <mergeCell ref="A76:C76"/>
    <mergeCell ref="A78:C78"/>
    <mergeCell ref="A79:C79"/>
    <mergeCell ref="A82:C82"/>
    <mergeCell ref="A77:C77"/>
  </mergeCells>
  <conditionalFormatting sqref="M38 M39:N63">
    <cfRule type="cellIs" dxfId="0" priority="1" operator="greaterThan">
      <formula>1</formula>
    </cfRule>
  </conditionalFormatting>
  <conditionalFormatting sqref="M38:M63">
    <cfRule type="colorScale" priority="3">
      <colorScale>
        <cfvo type="min"/>
        <cfvo type="percentile" val="50"/>
        <cfvo type="max"/>
        <color rgb="FFF8696B"/>
        <color rgb="FFFCFCFF"/>
        <color rgb="FF63BE7B"/>
      </colorScale>
    </cfRule>
  </conditionalFormatting>
  <conditionalFormatting sqref="N39:N63">
    <cfRule type="colorScale" priority="2">
      <colorScale>
        <cfvo type="min"/>
        <cfvo type="percentile" val="50"/>
        <cfvo type="max"/>
        <color rgb="FFF8696B"/>
        <color rgb="FFFCFCFF"/>
        <color rgb="FF63BE7B"/>
      </colorScale>
    </cfRule>
  </conditionalFormatting>
  <hyperlinks>
    <hyperlink ref="I10" r:id="rId1" xr:uid="{FFAA3B27-7179-49CE-99B8-5CCBDBE47E36}"/>
    <hyperlink ref="I21" r:id="rId2" display="www.vero.fi" xr:uid="{093CB29C-D086-4F03-871A-1F37749CC7BA}"/>
    <hyperlink ref="K21" r:id="rId3" display="www.businessfinland.fi" xr:uid="{95FF0D1F-9234-4568-8D9B-942D920861ED}"/>
    <hyperlink ref="N21" r:id="rId4" display="www.ara.fi" xr:uid="{F2B61B6E-F661-454E-932D-404454D5634D}"/>
    <hyperlink ref="I19" r:id="rId5" display="www.sulpu.fi" xr:uid="{CD2817B4-D651-4D38-9480-FFD54C07EA1B}"/>
    <hyperlink ref="I91" r:id="rId6" xr:uid="{0C2DA605-41EC-4F11-BEB0-B61FD8F00CDF}"/>
    <hyperlink ref="I93" r:id="rId7" xr:uid="{3289FF95-0D5F-449A-9116-A2EAEF33BF93}"/>
    <hyperlink ref="H20" r:id="rId8" xr:uid="{56A77266-24A2-40AF-997F-7277A6730C44}"/>
    <hyperlink ref="I20" r:id="rId9" xr:uid="{A88398FA-D178-4AD0-ACD1-F3F7E0DC2272}"/>
    <hyperlink ref="K20" r:id="rId10" xr:uid="{B86E5FC7-AF19-4FC3-90AE-307C0E2F0A53}"/>
    <hyperlink ref="I89" r:id="rId11" xr:uid="{3545BAE9-D60D-4178-BE98-CE54F5F24F0B}"/>
    <hyperlink ref="I90" r:id="rId12" xr:uid="{C47BA495-CF1F-480B-B505-131B9D7D4AF4}"/>
  </hyperlinks>
  <pageMargins left="0.7" right="0.7" top="0.75" bottom="0.75" header="0.3" footer="0.3"/>
  <pageSetup paperSize="9" orientation="portrait" r:id="rId13"/>
  <drawing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26F0-FF2E-4335-9EFC-490CACEC065E}">
  <sheetPr>
    <outlinePr summaryBelow="0" summaryRight="0"/>
  </sheetPr>
  <dimension ref="A1:AD1009"/>
  <sheetViews>
    <sheetView showGridLines="0" zoomScale="70" zoomScaleNormal="70" workbookViewId="0">
      <selection activeCell="I88" sqref="I88"/>
    </sheetView>
  </sheetViews>
  <sheetFormatPr defaultColWidth="14.54296875" defaultRowHeight="15" customHeight="1" x14ac:dyDescent="0.35"/>
  <cols>
    <col min="1" max="2" width="11.54296875" style="146" customWidth="1"/>
    <col min="3" max="3" width="11.1796875" style="146" customWidth="1"/>
    <col min="4" max="4" width="14.1796875" style="146" customWidth="1"/>
    <col min="5" max="5" width="12.54296875" style="146" customWidth="1"/>
    <col min="6" max="6" width="11.453125" style="146" customWidth="1"/>
    <col min="7" max="7" width="11.1796875" style="146" customWidth="1"/>
    <col min="8" max="8" width="13.54296875" style="146" customWidth="1"/>
    <col min="9" max="9" width="13.81640625" style="146" customWidth="1"/>
    <col min="10" max="10" width="13.7265625" style="146" customWidth="1"/>
    <col min="11" max="11" width="13.54296875" style="146" customWidth="1"/>
    <col min="12" max="12" width="9.81640625" style="146" customWidth="1"/>
    <col min="13" max="13" width="13.54296875" style="146" customWidth="1"/>
    <col min="14" max="14" width="14.26953125" style="146" customWidth="1"/>
    <col min="15" max="15" width="14.1796875" style="146" customWidth="1"/>
    <col min="16" max="16" width="13.1796875" style="146" customWidth="1"/>
    <col min="17" max="17" width="14.54296875" style="146" customWidth="1"/>
    <col min="18" max="16384" width="14.54296875" style="146"/>
  </cols>
  <sheetData>
    <row r="1" spans="1:26" ht="15.5" x14ac:dyDescent="0.35">
      <c r="A1" s="143" t="s">
        <v>268</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5" x14ac:dyDescent="0.3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5" x14ac:dyDescent="0.3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65" customHeight="1" x14ac:dyDescent="0.35">
      <c r="A4" s="422" t="s">
        <v>251</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35">
      <c r="A5" s="253" t="s">
        <v>275</v>
      </c>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3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3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5" x14ac:dyDescent="0.3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5" x14ac:dyDescent="0.3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35">
      <c r="A10" s="425" t="s">
        <v>2</v>
      </c>
      <c r="B10" s="395"/>
      <c r="C10" s="395"/>
      <c r="D10" s="395"/>
      <c r="E10" s="396"/>
      <c r="F10" s="151">
        <f>(4)</f>
        <v>4</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35">
      <c r="A11" s="425" t="s">
        <v>156</v>
      </c>
      <c r="B11" s="395"/>
      <c r="C11" s="395"/>
      <c r="D11" s="395"/>
      <c r="E11" s="396"/>
      <c r="F11" s="151">
        <f>(2.5)</f>
        <v>2.5</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35">
      <c r="A12" s="425" t="s">
        <v>5</v>
      </c>
      <c r="B12" s="395"/>
      <c r="C12" s="395"/>
      <c r="D12" s="395"/>
      <c r="E12" s="396"/>
      <c r="F12" s="152">
        <f>(2.253)</f>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35">
      <c r="A13" s="425" t="s">
        <v>7</v>
      </c>
      <c r="B13" s="395"/>
      <c r="C13" s="395"/>
      <c r="D13" s="395"/>
      <c r="E13" s="396"/>
      <c r="F13" s="153">
        <v>0</v>
      </c>
      <c r="G13" s="145"/>
      <c r="H13" s="145" t="s">
        <v>276</v>
      </c>
      <c r="I13" s="145"/>
      <c r="J13" s="145"/>
      <c r="K13" s="145"/>
      <c r="L13" s="145"/>
      <c r="M13" s="145"/>
      <c r="N13" s="145"/>
      <c r="O13" s="145"/>
      <c r="P13" s="145"/>
      <c r="Q13" s="145"/>
      <c r="R13" s="145"/>
      <c r="S13" s="145"/>
      <c r="T13" s="145"/>
      <c r="U13" s="145"/>
      <c r="V13" s="145"/>
      <c r="W13" s="145"/>
      <c r="X13" s="145"/>
      <c r="Y13" s="145"/>
      <c r="Z13" s="145"/>
    </row>
    <row r="14" spans="1:26" ht="15.75" customHeight="1" x14ac:dyDescent="0.35">
      <c r="A14" s="412" t="s">
        <v>159</v>
      </c>
      <c r="B14" s="395"/>
      <c r="C14" s="395"/>
      <c r="D14" s="395"/>
      <c r="E14" s="396"/>
      <c r="F14" s="278">
        <f>(F10+F11+F12)*(1+F13)</f>
        <v>8.7530000000000001</v>
      </c>
      <c r="G14" s="145" t="s">
        <v>3</v>
      </c>
      <c r="H14" s="145" t="s">
        <v>250</v>
      </c>
      <c r="I14" s="145"/>
      <c r="J14" s="145"/>
      <c r="K14" s="145"/>
      <c r="L14" s="145"/>
      <c r="M14" s="145"/>
      <c r="N14" s="145"/>
      <c r="O14" s="145"/>
      <c r="P14" s="145"/>
      <c r="Q14" s="145"/>
      <c r="R14" s="145"/>
      <c r="S14" s="145"/>
      <c r="T14" s="145"/>
      <c r="U14" s="145"/>
      <c r="V14" s="145"/>
      <c r="W14" s="145"/>
      <c r="X14" s="145"/>
      <c r="Y14" s="145"/>
      <c r="Z14" s="145"/>
    </row>
    <row r="15" spans="1:26" ht="15.75" customHeight="1" x14ac:dyDescent="0.35">
      <c r="A15" s="414" t="s">
        <v>160</v>
      </c>
      <c r="B15" s="408"/>
      <c r="C15" s="408"/>
      <c r="D15" s="408"/>
      <c r="E15" s="409"/>
      <c r="F15" s="154">
        <v>0.01</v>
      </c>
      <c r="G15" s="145" t="s">
        <v>161</v>
      </c>
      <c r="H15" s="145" t="s">
        <v>162</v>
      </c>
      <c r="I15" s="145"/>
      <c r="J15" s="145"/>
      <c r="K15" s="145"/>
      <c r="L15" s="145"/>
      <c r="M15" s="145"/>
      <c r="N15" s="145"/>
      <c r="O15" s="145"/>
      <c r="P15" s="145"/>
      <c r="Q15" s="145"/>
      <c r="R15" s="145"/>
      <c r="S15" s="145"/>
      <c r="T15" s="145"/>
      <c r="U15" s="145"/>
      <c r="V15" s="145"/>
      <c r="W15" s="145"/>
      <c r="X15" s="145"/>
      <c r="Y15" s="145"/>
      <c r="Z15" s="145"/>
    </row>
    <row r="16" spans="1:26" ht="15.75" customHeight="1" x14ac:dyDescent="0.35">
      <c r="A16" s="426" t="s">
        <v>163</v>
      </c>
      <c r="B16" s="426"/>
      <c r="C16" s="426"/>
      <c r="D16" s="426"/>
      <c r="E16" s="426"/>
      <c r="F16" s="279">
        <f>(70000+24000)</f>
        <v>94000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35">
      <c r="A17" s="155" t="s">
        <v>164</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5" x14ac:dyDescent="0.35">
      <c r="A18" s="399" t="s">
        <v>165</v>
      </c>
      <c r="B18" s="395"/>
      <c r="C18" s="395"/>
      <c r="D18" s="395"/>
      <c r="E18" s="396"/>
      <c r="F18" s="151">
        <v>9.9</v>
      </c>
      <c r="G18" s="156" t="s">
        <v>12</v>
      </c>
      <c r="I18" s="145"/>
      <c r="J18" s="145"/>
      <c r="K18" s="145"/>
      <c r="L18" s="145"/>
      <c r="M18" s="145"/>
      <c r="N18" s="145"/>
      <c r="O18" s="145"/>
      <c r="P18" s="145"/>
      <c r="Q18" s="145"/>
      <c r="R18" s="145"/>
      <c r="S18" s="145"/>
      <c r="T18" s="145"/>
      <c r="U18" s="145"/>
      <c r="V18" s="145"/>
      <c r="W18" s="145"/>
      <c r="X18" s="145"/>
      <c r="Y18" s="145"/>
      <c r="Z18" s="145"/>
    </row>
    <row r="19" spans="1:26" ht="15.5" x14ac:dyDescent="0.35">
      <c r="A19" s="421" t="s">
        <v>13</v>
      </c>
      <c r="B19" s="395"/>
      <c r="C19" s="395"/>
      <c r="D19" s="395"/>
      <c r="E19" s="396"/>
      <c r="F19" s="157">
        <f>(F18*1000)/250*1.7</f>
        <v>67.320000000000007</v>
      </c>
      <c r="G19" s="158" t="s">
        <v>14</v>
      </c>
      <c r="H19" s="145"/>
      <c r="I19" s="145"/>
      <c r="J19" s="145"/>
      <c r="K19" s="145"/>
      <c r="L19" s="145"/>
      <c r="M19" s="145"/>
      <c r="N19" s="145"/>
      <c r="O19" s="145"/>
      <c r="P19" s="145"/>
      <c r="Q19" s="145"/>
      <c r="R19" s="145"/>
      <c r="S19" s="145"/>
      <c r="T19" s="145"/>
      <c r="U19" s="145"/>
      <c r="V19" s="145"/>
      <c r="W19" s="145"/>
      <c r="X19" s="145"/>
      <c r="Y19" s="145"/>
      <c r="Z19" s="145"/>
    </row>
    <row r="20" spans="1:26" ht="15.5" x14ac:dyDescent="0.35">
      <c r="A20" s="399" t="s">
        <v>166</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35">
      <c r="A21" s="419" t="s">
        <v>167</v>
      </c>
      <c r="B21" s="395"/>
      <c r="C21" s="395"/>
      <c r="D21" s="395"/>
      <c r="E21" s="396"/>
      <c r="F21" s="160">
        <f>(F18)*F20</f>
        <v>8712</v>
      </c>
      <c r="G21" s="158" t="s">
        <v>27</v>
      </c>
      <c r="H21" s="145"/>
      <c r="I21" s="145"/>
      <c r="J21" s="145"/>
      <c r="K21" s="145"/>
      <c r="L21" s="145"/>
      <c r="M21" s="145"/>
      <c r="N21" s="145"/>
      <c r="O21" s="145"/>
      <c r="P21" s="145"/>
      <c r="Q21" s="145"/>
      <c r="R21" s="145"/>
      <c r="S21" s="145"/>
      <c r="T21" s="145"/>
      <c r="U21" s="145"/>
      <c r="V21" s="145"/>
      <c r="W21" s="145"/>
      <c r="X21" s="145"/>
      <c r="Y21" s="145"/>
      <c r="Z21" s="145"/>
    </row>
    <row r="22" spans="1:26" ht="15.5" x14ac:dyDescent="0.35">
      <c r="A22" s="399"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5" x14ac:dyDescent="0.35">
      <c r="A23" s="413" t="s">
        <v>225</v>
      </c>
      <c r="B23" s="395"/>
      <c r="C23" s="395"/>
      <c r="D23" s="395"/>
      <c r="E23" s="396"/>
      <c r="F23" s="162">
        <v>0</v>
      </c>
      <c r="G23" s="163"/>
      <c r="H23" s="145" t="s">
        <v>168</v>
      </c>
      <c r="I23" s="163"/>
      <c r="J23" s="163"/>
      <c r="K23" s="163"/>
      <c r="L23" s="163"/>
      <c r="M23" s="163"/>
      <c r="N23" s="163"/>
      <c r="O23" s="163"/>
      <c r="P23" s="163"/>
      <c r="Q23" s="163"/>
      <c r="R23" s="163"/>
      <c r="S23" s="163"/>
      <c r="T23" s="163"/>
      <c r="U23" s="163"/>
      <c r="V23" s="163"/>
      <c r="W23" s="163"/>
      <c r="X23" s="163"/>
      <c r="Y23" s="163"/>
      <c r="Z23" s="163"/>
    </row>
    <row r="24" spans="1:26" ht="15.75" customHeight="1" x14ac:dyDescent="0.35">
      <c r="A24" s="420" t="s">
        <v>169</v>
      </c>
      <c r="B24" s="395"/>
      <c r="C24" s="395"/>
      <c r="D24" s="395"/>
      <c r="E24" s="396"/>
      <c r="F24" s="151">
        <v>2</v>
      </c>
      <c r="G24" s="145" t="s">
        <v>3</v>
      </c>
      <c r="H24" s="145" t="s">
        <v>170</v>
      </c>
      <c r="I24" s="145"/>
      <c r="J24" s="145"/>
      <c r="K24" s="145"/>
      <c r="L24" s="145"/>
      <c r="M24" s="145"/>
      <c r="N24" s="145"/>
      <c r="O24" s="145"/>
      <c r="P24" s="145"/>
      <c r="Q24" s="145"/>
      <c r="R24" s="145"/>
      <c r="S24" s="145"/>
      <c r="T24" s="145"/>
      <c r="U24" s="145"/>
      <c r="V24" s="145"/>
      <c r="W24" s="145"/>
      <c r="X24" s="145"/>
      <c r="Y24" s="145"/>
      <c r="Z24" s="145"/>
    </row>
    <row r="25" spans="1:26" ht="15.5" x14ac:dyDescent="0.3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5" x14ac:dyDescent="0.35">
      <c r="A26" s="166" t="s">
        <v>171</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5" x14ac:dyDescent="0.35">
      <c r="A27" s="399" t="s">
        <v>172</v>
      </c>
      <c r="B27" s="395"/>
      <c r="C27" s="395"/>
      <c r="D27" s="395"/>
      <c r="E27" s="396"/>
      <c r="F27" s="167">
        <v>12000</v>
      </c>
      <c r="G27" s="145" t="s">
        <v>15</v>
      </c>
      <c r="H27" s="145" t="s">
        <v>269</v>
      </c>
      <c r="I27" s="145"/>
      <c r="J27" s="145"/>
      <c r="K27" s="145"/>
      <c r="L27" s="145"/>
      <c r="M27" s="145"/>
      <c r="N27" s="145"/>
      <c r="O27" s="145"/>
      <c r="P27" s="145"/>
      <c r="Q27" s="145"/>
      <c r="R27" s="145"/>
      <c r="S27" s="145"/>
      <c r="T27" s="145"/>
      <c r="U27" s="145"/>
      <c r="V27" s="145"/>
      <c r="W27" s="145"/>
      <c r="X27" s="145"/>
      <c r="Y27" s="145"/>
      <c r="Z27" s="145"/>
    </row>
    <row r="28" spans="1:26" ht="15.5" x14ac:dyDescent="0.35">
      <c r="A28" s="421" t="s">
        <v>16</v>
      </c>
      <c r="B28" s="395"/>
      <c r="C28" s="395"/>
      <c r="D28" s="395"/>
      <c r="E28" s="396"/>
      <c r="F28" s="168">
        <f>F27/F18</f>
        <v>1212.121212121212</v>
      </c>
      <c r="G28" s="158" t="s">
        <v>17</v>
      </c>
      <c r="H28" s="145"/>
      <c r="I28" s="145"/>
      <c r="J28" s="145"/>
      <c r="K28" s="145"/>
      <c r="L28" s="145"/>
      <c r="M28" s="145"/>
      <c r="N28" s="145"/>
      <c r="O28" s="145"/>
      <c r="P28" s="145"/>
      <c r="Q28" s="145"/>
      <c r="R28" s="145"/>
      <c r="S28" s="145"/>
      <c r="T28" s="145"/>
      <c r="U28" s="145"/>
      <c r="V28" s="145"/>
      <c r="W28" s="145"/>
      <c r="X28" s="145"/>
      <c r="Y28" s="145"/>
      <c r="Z28" s="145"/>
    </row>
    <row r="29" spans="1:26" ht="15.5" x14ac:dyDescent="0.35">
      <c r="A29" s="420" t="s">
        <v>173</v>
      </c>
      <c r="B29" s="395"/>
      <c r="C29" s="395"/>
      <c r="D29" s="395"/>
      <c r="E29" s="396"/>
      <c r="F29" s="162">
        <v>0.2</v>
      </c>
      <c r="G29" s="145"/>
      <c r="H29" s="145" t="s">
        <v>274</v>
      </c>
      <c r="I29" s="145"/>
      <c r="J29" s="145"/>
      <c r="K29" s="145"/>
      <c r="L29" s="145"/>
      <c r="M29" s="145"/>
      <c r="N29" s="145"/>
      <c r="O29" s="145"/>
      <c r="P29" s="145"/>
      <c r="Q29" s="145"/>
      <c r="R29" s="145"/>
      <c r="S29" s="145"/>
      <c r="T29" s="145"/>
      <c r="U29" s="145"/>
      <c r="V29" s="145"/>
      <c r="W29" s="145"/>
      <c r="X29" s="145"/>
      <c r="Y29" s="145"/>
      <c r="Z29" s="145"/>
    </row>
    <row r="30" spans="1:26" ht="15.75" customHeight="1" x14ac:dyDescent="0.35">
      <c r="A30" s="420"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5" x14ac:dyDescent="0.35">
      <c r="A31" s="412" t="s">
        <v>22</v>
      </c>
      <c r="B31" s="395"/>
      <c r="C31" s="395"/>
      <c r="D31" s="395"/>
      <c r="E31" s="395"/>
      <c r="F31" s="168">
        <f>F27-(F27*F29)-F30</f>
        <v>9600</v>
      </c>
      <c r="G31" s="158" t="s">
        <v>15</v>
      </c>
      <c r="H31" s="145" t="s">
        <v>231</v>
      </c>
      <c r="I31" s="145"/>
      <c r="J31" s="145"/>
      <c r="K31" s="145"/>
      <c r="L31" s="145"/>
      <c r="M31" s="145"/>
      <c r="N31" s="145"/>
      <c r="O31" s="145"/>
      <c r="P31" s="145"/>
      <c r="Q31" s="145"/>
      <c r="R31" s="145"/>
      <c r="S31" s="145"/>
      <c r="T31" s="145"/>
      <c r="U31" s="145"/>
      <c r="V31" s="145"/>
      <c r="W31" s="145"/>
      <c r="X31" s="145"/>
      <c r="Y31" s="145"/>
      <c r="Z31" s="145"/>
    </row>
    <row r="32" spans="1:26" ht="15.5" x14ac:dyDescent="0.35">
      <c r="A32" s="413" t="s">
        <v>174</v>
      </c>
      <c r="B32" s="395"/>
      <c r="C32" s="395"/>
      <c r="D32" s="395"/>
      <c r="E32" s="395"/>
      <c r="F32" s="170">
        <v>5000</v>
      </c>
      <c r="G32" s="145"/>
      <c r="I32" s="145"/>
      <c r="J32" s="145"/>
      <c r="K32" s="145"/>
      <c r="L32" s="145"/>
      <c r="M32" s="145"/>
      <c r="N32" s="145"/>
      <c r="O32" s="145"/>
      <c r="P32" s="145"/>
      <c r="Q32" s="145"/>
      <c r="R32" s="145"/>
      <c r="S32" s="145"/>
      <c r="T32" s="145"/>
      <c r="U32" s="145"/>
      <c r="V32" s="145"/>
      <c r="W32" s="145"/>
      <c r="X32" s="145"/>
      <c r="Y32" s="145"/>
      <c r="Z32" s="145"/>
    </row>
    <row r="33" spans="1:30" ht="15.5" x14ac:dyDescent="0.35">
      <c r="A33" s="413" t="s">
        <v>175</v>
      </c>
      <c r="B33" s="395"/>
      <c r="C33" s="395"/>
      <c r="D33" s="395"/>
      <c r="E33" s="395"/>
      <c r="F33" s="171">
        <v>5</v>
      </c>
      <c r="G33" s="145" t="s">
        <v>37</v>
      </c>
      <c r="H33" s="145"/>
      <c r="I33" s="145"/>
      <c r="J33" s="145"/>
      <c r="K33" s="145"/>
      <c r="L33" s="145"/>
      <c r="M33" s="145"/>
      <c r="N33" s="145"/>
      <c r="O33" s="145"/>
      <c r="P33" s="145"/>
      <c r="Q33" s="145"/>
      <c r="R33" s="145"/>
      <c r="S33" s="145"/>
      <c r="T33" s="145"/>
      <c r="U33" s="145"/>
      <c r="V33" s="145"/>
      <c r="W33" s="145"/>
      <c r="X33" s="145"/>
      <c r="Y33" s="145"/>
      <c r="Z33" s="145"/>
    </row>
    <row r="34" spans="1:30" ht="15.5" x14ac:dyDescent="0.35">
      <c r="A34" s="413" t="s">
        <v>176</v>
      </c>
      <c r="B34" s="395"/>
      <c r="C34" s="395"/>
      <c r="D34" s="395"/>
      <c r="E34" s="395"/>
      <c r="F34" s="172">
        <v>1.4999999999999999E-2</v>
      </c>
      <c r="G34" s="145"/>
      <c r="H34" s="145"/>
      <c r="I34" s="145"/>
      <c r="J34" s="145"/>
      <c r="K34" s="145"/>
      <c r="L34" s="145"/>
      <c r="M34" s="145"/>
      <c r="N34" s="145"/>
      <c r="O34" s="145"/>
      <c r="P34" s="145"/>
      <c r="Q34" s="145"/>
      <c r="R34" s="145"/>
      <c r="S34" s="145"/>
      <c r="T34" s="145"/>
      <c r="U34" s="145"/>
      <c r="V34" s="145"/>
      <c r="W34" s="145"/>
      <c r="X34" s="145"/>
      <c r="Y34" s="145"/>
      <c r="Z34" s="145"/>
    </row>
    <row r="35" spans="1:30" ht="15.5" x14ac:dyDescent="0.35">
      <c r="A35" s="412" t="s">
        <v>177</v>
      </c>
      <c r="B35" s="395"/>
      <c r="C35" s="395"/>
      <c r="D35" s="395"/>
      <c r="E35" s="395"/>
      <c r="F35" s="173">
        <f>IFERROR(F32/F33,0)</f>
        <v>1000</v>
      </c>
      <c r="G35" s="158" t="s">
        <v>178</v>
      </c>
      <c r="H35" s="145" t="s">
        <v>4</v>
      </c>
      <c r="I35" s="145"/>
      <c r="J35" s="145"/>
      <c r="K35" s="145"/>
      <c r="L35" s="145"/>
      <c r="M35" s="145"/>
      <c r="N35" s="145"/>
      <c r="O35" s="145"/>
      <c r="P35" s="145"/>
      <c r="Q35" s="145"/>
      <c r="R35" s="145"/>
      <c r="S35" s="145"/>
      <c r="T35" s="145"/>
      <c r="U35" s="145"/>
      <c r="V35" s="145"/>
      <c r="W35" s="145"/>
      <c r="X35" s="145"/>
      <c r="Y35" s="145"/>
      <c r="Z35" s="145"/>
    </row>
    <row r="36" spans="1:30" ht="15.5" x14ac:dyDescent="0.35">
      <c r="A36" s="413" t="s">
        <v>23</v>
      </c>
      <c r="B36" s="395"/>
      <c r="C36" s="395"/>
      <c r="D36" s="395"/>
      <c r="E36" s="395"/>
      <c r="F36" s="161">
        <v>0</v>
      </c>
      <c r="G36" s="145"/>
      <c r="H36" s="145" t="s">
        <v>179</v>
      </c>
      <c r="I36" s="145"/>
      <c r="J36" s="145"/>
      <c r="K36" s="145"/>
      <c r="L36" s="145"/>
      <c r="M36" s="145"/>
      <c r="N36" s="145"/>
      <c r="O36" s="145"/>
      <c r="P36" s="145"/>
      <c r="Q36" s="145"/>
      <c r="R36" s="145"/>
      <c r="S36" s="145"/>
      <c r="T36" s="145"/>
      <c r="U36" s="145"/>
      <c r="V36" s="145"/>
      <c r="W36" s="145"/>
      <c r="X36" s="145"/>
      <c r="Y36" s="145"/>
      <c r="Z36" s="145"/>
    </row>
    <row r="37" spans="1:30" ht="15.5" x14ac:dyDescent="0.35">
      <c r="A37" s="414" t="s">
        <v>24</v>
      </c>
      <c r="B37" s="408"/>
      <c r="C37" s="408"/>
      <c r="D37" s="408"/>
      <c r="E37" s="409"/>
      <c r="F37" s="174">
        <v>0.08</v>
      </c>
      <c r="G37" s="145"/>
      <c r="H37" s="145" t="s">
        <v>180</v>
      </c>
      <c r="I37" s="145"/>
      <c r="J37" s="145"/>
      <c r="K37" s="145"/>
      <c r="L37" s="145"/>
      <c r="M37" s="145"/>
      <c r="N37" s="145"/>
      <c r="O37" s="145"/>
      <c r="P37" s="145"/>
      <c r="Q37" s="145"/>
      <c r="R37" s="145"/>
      <c r="S37" s="145"/>
      <c r="T37" s="145"/>
      <c r="U37" s="145"/>
      <c r="V37" s="145"/>
      <c r="W37" s="145"/>
      <c r="X37" s="145"/>
      <c r="Y37" s="145"/>
      <c r="Z37" s="145"/>
    </row>
    <row r="38" spans="1:30" ht="15.5" x14ac:dyDescent="0.35">
      <c r="A38" s="399" t="s">
        <v>230</v>
      </c>
      <c r="B38" s="395"/>
      <c r="C38" s="395"/>
      <c r="D38" s="395"/>
      <c r="E38" s="396"/>
      <c r="F38" s="170">
        <v>60</v>
      </c>
      <c r="G38" s="145" t="s">
        <v>15</v>
      </c>
      <c r="H38" s="145" t="s">
        <v>269</v>
      </c>
      <c r="I38" s="145"/>
      <c r="J38" s="145"/>
      <c r="K38" s="145"/>
      <c r="L38" s="145"/>
      <c r="M38" s="145"/>
      <c r="N38" s="145"/>
      <c r="O38" s="145"/>
      <c r="P38" s="145"/>
      <c r="Q38" s="145"/>
      <c r="R38" s="145"/>
      <c r="S38" s="145"/>
      <c r="T38" s="145"/>
      <c r="U38" s="145"/>
      <c r="V38" s="145"/>
      <c r="W38" s="145"/>
      <c r="X38" s="145"/>
      <c r="Y38" s="145"/>
      <c r="Z38" s="145"/>
    </row>
    <row r="39" spans="1:30" ht="15.75" customHeight="1" x14ac:dyDescent="0.3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5" x14ac:dyDescent="0.35">
      <c r="A40" s="178" t="s">
        <v>181</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5" x14ac:dyDescent="0.3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65" customHeight="1" x14ac:dyDescent="0.35">
      <c r="A42" s="415" t="s">
        <v>182</v>
      </c>
      <c r="B42" s="396"/>
      <c r="C42" s="416" t="s">
        <v>183</v>
      </c>
      <c r="D42" s="396"/>
      <c r="E42" s="417" t="s">
        <v>184</v>
      </c>
      <c r="F42" s="418"/>
      <c r="G42" s="418"/>
      <c r="H42" s="418"/>
      <c r="I42" s="418"/>
      <c r="J42" s="418"/>
      <c r="K42" s="418"/>
      <c r="L42" s="401" t="s">
        <v>185</v>
      </c>
      <c r="M42" s="401"/>
      <c r="N42" s="402"/>
      <c r="P42" s="403" t="s">
        <v>186</v>
      </c>
      <c r="Q42" s="403"/>
      <c r="R42" s="403"/>
      <c r="S42" s="180"/>
      <c r="T42" s="181"/>
      <c r="U42" s="181"/>
      <c r="V42" s="181"/>
      <c r="W42" s="181"/>
      <c r="X42" s="181"/>
      <c r="Y42" s="181"/>
      <c r="Z42" s="181"/>
      <c r="AA42" s="181"/>
      <c r="AB42" s="181"/>
      <c r="AC42" s="181"/>
      <c r="AD42" s="181"/>
    </row>
    <row r="43" spans="1:30" ht="61.5" customHeight="1" x14ac:dyDescent="0.35">
      <c r="A43" s="182" t="s">
        <v>141</v>
      </c>
      <c r="B43" s="182" t="s">
        <v>187</v>
      </c>
      <c r="C43" s="183" t="s">
        <v>188</v>
      </c>
      <c r="D43" s="184" t="s">
        <v>189</v>
      </c>
      <c r="E43" s="185" t="s">
        <v>116</v>
      </c>
      <c r="F43" s="185" t="s">
        <v>190</v>
      </c>
      <c r="G43" s="186" t="s">
        <v>191</v>
      </c>
      <c r="H43" s="185" t="s">
        <v>147</v>
      </c>
      <c r="I43" s="185" t="s">
        <v>148</v>
      </c>
      <c r="J43" s="185" t="s">
        <v>149</v>
      </c>
      <c r="K43" s="186" t="s">
        <v>192</v>
      </c>
      <c r="L43" s="187" t="s">
        <v>193</v>
      </c>
      <c r="M43" s="188" t="s">
        <v>194</v>
      </c>
      <c r="N43" s="182" t="s">
        <v>195</v>
      </c>
      <c r="O43" s="189" t="s">
        <v>196</v>
      </c>
      <c r="P43" s="190" t="s">
        <v>197</v>
      </c>
      <c r="Q43" s="190" t="s">
        <v>198</v>
      </c>
      <c r="R43" s="190" t="s">
        <v>199</v>
      </c>
      <c r="S43" s="191"/>
      <c r="T43" s="192"/>
      <c r="U43" s="192"/>
      <c r="V43" s="192"/>
      <c r="W43" s="192"/>
      <c r="X43" s="192"/>
      <c r="Y43" s="192"/>
      <c r="Z43" s="192"/>
      <c r="AA43" s="192"/>
      <c r="AB43" s="192"/>
    </row>
    <row r="44" spans="1:30" ht="15.5" x14ac:dyDescent="0.35">
      <c r="A44" s="193">
        <v>0</v>
      </c>
      <c r="B44" s="194" t="s">
        <v>4</v>
      </c>
      <c r="C44" s="195" t="s">
        <v>4</v>
      </c>
      <c r="D44" s="196" t="s">
        <v>4</v>
      </c>
      <c r="E44" s="197">
        <f>(0)</f>
        <v>0</v>
      </c>
      <c r="F44" s="198">
        <f>IF((F33&gt;0),0,$F$31)</f>
        <v>0</v>
      </c>
      <c r="G44" s="199">
        <v>0</v>
      </c>
      <c r="H44" s="199">
        <f>IF(F32&gt;0,(F32),"")</f>
        <v>5000</v>
      </c>
      <c r="I44" s="199">
        <f>IF(OR(H44="",H44=0),0,F31-F32)</f>
        <v>4600</v>
      </c>
      <c r="J44" s="200"/>
      <c r="K44" s="201">
        <f>IFERROR(F44+G44+I44+J44,J44)</f>
        <v>4600</v>
      </c>
      <c r="L44" s="202" t="s">
        <v>4</v>
      </c>
      <c r="M44" s="203" t="s">
        <v>4</v>
      </c>
      <c r="N44" s="204" t="s">
        <v>4</v>
      </c>
      <c r="O44" s="205">
        <f>-K44</f>
        <v>-4600</v>
      </c>
      <c r="P44" s="206">
        <f>$O44</f>
        <v>-4600</v>
      </c>
      <c r="Q44" s="207" t="s">
        <v>4</v>
      </c>
      <c r="R44" s="193">
        <f t="shared" ref="R44:R74" si="0">IF(Q44&lt;0,1,0)</f>
        <v>0</v>
      </c>
      <c r="S44" s="208"/>
      <c r="T44" s="150"/>
      <c r="U44" s="145"/>
      <c r="V44" s="145"/>
      <c r="W44" s="145"/>
      <c r="X44" s="145"/>
      <c r="Y44" s="145"/>
      <c r="Z44" s="145"/>
      <c r="AA44" s="145"/>
      <c r="AB44" s="145"/>
      <c r="AC44" s="145"/>
    </row>
    <row r="45" spans="1:30" ht="15.5" x14ac:dyDescent="0.35">
      <c r="A45" s="193">
        <v>1</v>
      </c>
      <c r="B45" s="194">
        <f>F21</f>
        <v>8712</v>
      </c>
      <c r="C45" s="209">
        <f>(F14/100)</f>
        <v>8.7529999999999997E-2</v>
      </c>
      <c r="D45" s="196">
        <f t="shared" ref="D45:D74" si="1">B45*C45</f>
        <v>762.56135999999992</v>
      </c>
      <c r="E45" s="197">
        <f>IF(OR(H44="",H44=0),"",E44+1)</f>
        <v>1</v>
      </c>
      <c r="F45" s="198">
        <f>IF(E45="","",$F$35)</f>
        <v>1000</v>
      </c>
      <c r="G45" s="199">
        <f>IF(E45="","",((H44*$F$34)))</f>
        <v>75</v>
      </c>
      <c r="H45" s="199">
        <f>IFERROR(ROUND(IF(E45="","",($H$44-SUM($F$44:F45))),2),"")</f>
        <v>4000</v>
      </c>
      <c r="I45" s="199"/>
      <c r="J45" s="200">
        <f t="shared" ref="J45:J57" si="2">$F$38</f>
        <v>60</v>
      </c>
      <c r="K45" s="201">
        <f>IFERROR(F45+G45+I45+J45,J45)</f>
        <v>1135</v>
      </c>
      <c r="L45" s="202">
        <f>F24/100</f>
        <v>0.02</v>
      </c>
      <c r="M45" s="203">
        <f t="shared" ref="M45:M74" si="3">B45*$F$23*L45</f>
        <v>0</v>
      </c>
      <c r="N45" s="204">
        <f t="shared" ref="N45:N74" si="4">D45*(1-$F$23)+M45</f>
        <v>762.56135999999992</v>
      </c>
      <c r="O45" s="205">
        <f t="shared" ref="O45:O74" si="5">N45-K45</f>
        <v>-372.43864000000008</v>
      </c>
      <c r="P45" s="206">
        <f t="shared" ref="P45:P74" si="6">P44+$O45</f>
        <v>-4972.4386400000003</v>
      </c>
      <c r="Q45" s="210">
        <f>NPV($F$36,O44:O45)</f>
        <v>-4972.4386400000003</v>
      </c>
      <c r="R45" s="193">
        <f t="shared" si="0"/>
        <v>1</v>
      </c>
      <c r="S45" s="208"/>
      <c r="T45" s="150"/>
      <c r="U45" s="145"/>
      <c r="V45" s="145"/>
      <c r="W45" s="145"/>
      <c r="X45" s="145"/>
      <c r="Y45" s="145"/>
      <c r="Z45" s="145"/>
      <c r="AA45" s="145"/>
      <c r="AB45" s="145"/>
      <c r="AC45" s="145"/>
    </row>
    <row r="46" spans="1:30" ht="15.5" x14ac:dyDescent="0.35">
      <c r="A46" s="193">
        <v>2</v>
      </c>
      <c r="B46" s="194">
        <f t="shared" ref="B46:B74" si="7">$F$22*B45+B45</f>
        <v>8668.44</v>
      </c>
      <c r="C46" s="209">
        <f t="shared" ref="C46:C74" si="8">(1+$F$15)*C45</f>
        <v>8.8405299999999992E-2</v>
      </c>
      <c r="D46" s="196">
        <f t="shared" si="1"/>
        <v>766.33603873200002</v>
      </c>
      <c r="E46" s="197">
        <f>IF(OR(H45="",H45=0),"",E45+1)</f>
        <v>2</v>
      </c>
      <c r="F46" s="198">
        <f t="shared" ref="F46:F64" si="9">IF(E46="","",$F$35)</f>
        <v>1000</v>
      </c>
      <c r="G46" s="199">
        <f>IF(E46="","",((H45*$F$34)))</f>
        <v>60</v>
      </c>
      <c r="H46" s="199">
        <f>IFERROR(ROUND(IF(E46="","",($H$44-SUM($F$44:F46))),2),"")</f>
        <v>3000</v>
      </c>
      <c r="I46" s="199"/>
      <c r="J46" s="200">
        <f t="shared" si="2"/>
        <v>60</v>
      </c>
      <c r="K46" s="201">
        <f t="shared" ref="K46:K74" si="10">IFERROR(F46+G46+I46+J46,J46)</f>
        <v>1120</v>
      </c>
      <c r="L46" s="202">
        <f t="shared" ref="L46:L74" si="11">(1+$F$15)*L45</f>
        <v>2.0199999999999999E-2</v>
      </c>
      <c r="M46" s="203">
        <f t="shared" si="3"/>
        <v>0</v>
      </c>
      <c r="N46" s="204">
        <f t="shared" si="4"/>
        <v>766.33603873200002</v>
      </c>
      <c r="O46" s="205">
        <f t="shared" si="5"/>
        <v>-353.66396126799998</v>
      </c>
      <c r="P46" s="206">
        <f t="shared" si="6"/>
        <v>-5326.1026012680004</v>
      </c>
      <c r="Q46" s="210">
        <f>NPV($F$36,O44:O46)</f>
        <v>-5326.1026012680004</v>
      </c>
      <c r="R46" s="193">
        <f t="shared" si="0"/>
        <v>1</v>
      </c>
      <c r="S46" s="208"/>
      <c r="T46" s="150"/>
      <c r="U46" s="145"/>
      <c r="V46" s="145"/>
      <c r="W46" s="145"/>
      <c r="X46" s="145"/>
      <c r="Y46" s="145"/>
      <c r="Z46" s="145"/>
      <c r="AA46" s="145"/>
      <c r="AB46" s="145"/>
      <c r="AC46" s="145"/>
    </row>
    <row r="47" spans="1:30" ht="15.5" x14ac:dyDescent="0.35">
      <c r="A47" s="193">
        <v>3</v>
      </c>
      <c r="B47" s="194">
        <f t="shared" si="7"/>
        <v>8625.0978000000014</v>
      </c>
      <c r="C47" s="209">
        <f t="shared" si="8"/>
        <v>8.9289352999999988E-2</v>
      </c>
      <c r="D47" s="196">
        <f t="shared" si="1"/>
        <v>770.12940212372337</v>
      </c>
      <c r="E47" s="197">
        <f t="shared" ref="E47:E64" si="12">IF(OR(H46="",H46=0),"",E46+1)</f>
        <v>3</v>
      </c>
      <c r="F47" s="198">
        <f t="shared" si="9"/>
        <v>1000</v>
      </c>
      <c r="G47" s="199">
        <f t="shared" ref="G47:G64" si="13">IF(E47="","",((H46*$F$34)))</f>
        <v>45</v>
      </c>
      <c r="H47" s="199">
        <f>IFERROR(ROUND(IF(E47="","",($H$44-SUM($F$44:F47))),2),"")</f>
        <v>2000</v>
      </c>
      <c r="I47" s="199"/>
      <c r="J47" s="200">
        <f t="shared" si="2"/>
        <v>60</v>
      </c>
      <c r="K47" s="201">
        <f t="shared" si="10"/>
        <v>1105</v>
      </c>
      <c r="L47" s="202">
        <f t="shared" si="11"/>
        <v>2.0402E-2</v>
      </c>
      <c r="M47" s="203">
        <f t="shared" si="3"/>
        <v>0</v>
      </c>
      <c r="N47" s="204">
        <f t="shared" si="4"/>
        <v>770.12940212372337</v>
      </c>
      <c r="O47" s="205">
        <f t="shared" si="5"/>
        <v>-334.87059787627663</v>
      </c>
      <c r="P47" s="206">
        <f t="shared" si="6"/>
        <v>-5660.9731991442768</v>
      </c>
      <c r="Q47" s="210">
        <f>NPV($F$36,O44:O47)</f>
        <v>-5660.9731991442768</v>
      </c>
      <c r="R47" s="193">
        <f t="shared" si="0"/>
        <v>1</v>
      </c>
      <c r="S47" s="208"/>
      <c r="T47" s="150"/>
      <c r="U47" s="145"/>
      <c r="V47" s="145"/>
      <c r="W47" s="145"/>
      <c r="X47" s="145"/>
      <c r="Y47" s="145"/>
      <c r="Z47" s="145"/>
      <c r="AA47" s="145"/>
      <c r="AB47" s="145"/>
      <c r="AC47" s="145"/>
    </row>
    <row r="48" spans="1:30" ht="15.5" x14ac:dyDescent="0.35">
      <c r="A48" s="193">
        <v>4</v>
      </c>
      <c r="B48" s="194">
        <f t="shared" si="7"/>
        <v>8581.9723110000014</v>
      </c>
      <c r="C48" s="209">
        <f t="shared" si="8"/>
        <v>9.0182246529999982E-2</v>
      </c>
      <c r="D48" s="196">
        <f t="shared" si="1"/>
        <v>773.94154266423584</v>
      </c>
      <c r="E48" s="197">
        <f t="shared" si="12"/>
        <v>4</v>
      </c>
      <c r="F48" s="198">
        <f t="shared" si="9"/>
        <v>1000</v>
      </c>
      <c r="G48" s="199">
        <f t="shared" si="13"/>
        <v>30</v>
      </c>
      <c r="H48" s="199">
        <f>IFERROR(ROUND(IF(E48="","",($H$44-SUM($F$44:F48))),2),"")</f>
        <v>1000</v>
      </c>
      <c r="I48" s="199"/>
      <c r="J48" s="200">
        <f t="shared" si="2"/>
        <v>60</v>
      </c>
      <c r="K48" s="201">
        <f t="shared" si="10"/>
        <v>1090</v>
      </c>
      <c r="L48" s="202">
        <f t="shared" si="11"/>
        <v>2.0606019999999999E-2</v>
      </c>
      <c r="M48" s="203">
        <f t="shared" si="3"/>
        <v>0</v>
      </c>
      <c r="N48" s="204">
        <f t="shared" si="4"/>
        <v>773.94154266423584</v>
      </c>
      <c r="O48" s="205">
        <f t="shared" si="5"/>
        <v>-316.05845733576416</v>
      </c>
      <c r="P48" s="206">
        <f t="shared" si="6"/>
        <v>-5977.0316564800414</v>
      </c>
      <c r="Q48" s="210">
        <f>NPV($F$36,O44:O48)</f>
        <v>-5977.0316564800414</v>
      </c>
      <c r="R48" s="193">
        <f t="shared" si="0"/>
        <v>1</v>
      </c>
      <c r="S48" s="208"/>
      <c r="T48" s="150"/>
      <c r="U48" s="145"/>
      <c r="V48" s="145"/>
      <c r="W48" s="145"/>
      <c r="X48" s="145"/>
      <c r="Y48" s="145"/>
      <c r="Z48" s="145"/>
      <c r="AA48" s="145"/>
      <c r="AB48" s="145"/>
      <c r="AC48" s="145"/>
    </row>
    <row r="49" spans="1:29" ht="15.5" x14ac:dyDescent="0.35">
      <c r="A49" s="193">
        <v>5</v>
      </c>
      <c r="B49" s="194">
        <f t="shared" si="7"/>
        <v>8539.0624494450021</v>
      </c>
      <c r="C49" s="209">
        <f t="shared" si="8"/>
        <v>9.1084068995299985E-2</v>
      </c>
      <c r="D49" s="196">
        <f t="shared" si="1"/>
        <v>777.77255330042385</v>
      </c>
      <c r="E49" s="197">
        <f t="shared" si="12"/>
        <v>5</v>
      </c>
      <c r="F49" s="198">
        <f t="shared" si="9"/>
        <v>1000</v>
      </c>
      <c r="G49" s="199">
        <f t="shared" si="13"/>
        <v>15</v>
      </c>
      <c r="H49" s="199">
        <f>IFERROR(ROUND(IF(E49="","",($H$44-SUM($F$44:F49))),2),"")</f>
        <v>0</v>
      </c>
      <c r="I49" s="199"/>
      <c r="J49" s="200">
        <f t="shared" si="2"/>
        <v>60</v>
      </c>
      <c r="K49" s="201">
        <f t="shared" si="10"/>
        <v>1075</v>
      </c>
      <c r="L49" s="202">
        <f t="shared" si="11"/>
        <v>2.0812080199999999E-2</v>
      </c>
      <c r="M49" s="203">
        <f t="shared" si="3"/>
        <v>0</v>
      </c>
      <c r="N49" s="204">
        <f t="shared" si="4"/>
        <v>777.77255330042385</v>
      </c>
      <c r="O49" s="205">
        <f t="shared" si="5"/>
        <v>-297.22744669957615</v>
      </c>
      <c r="P49" s="206">
        <f t="shared" si="6"/>
        <v>-6274.2591031796173</v>
      </c>
      <c r="Q49" s="210">
        <f>NPV($F$36,O44:O49)</f>
        <v>-6274.2591031796173</v>
      </c>
      <c r="R49" s="193">
        <f t="shared" si="0"/>
        <v>1</v>
      </c>
      <c r="S49" s="208"/>
      <c r="T49" s="150"/>
      <c r="U49" s="145"/>
      <c r="V49" s="145"/>
      <c r="W49" s="145"/>
      <c r="X49" s="145"/>
      <c r="Y49" s="145"/>
      <c r="Z49" s="145"/>
      <c r="AA49" s="145"/>
      <c r="AB49" s="145"/>
      <c r="AC49" s="145"/>
    </row>
    <row r="50" spans="1:29" ht="15.5" x14ac:dyDescent="0.35">
      <c r="A50" s="193">
        <v>6</v>
      </c>
      <c r="B50" s="194">
        <f t="shared" si="7"/>
        <v>8496.367137197778</v>
      </c>
      <c r="C50" s="209">
        <f t="shared" si="8"/>
        <v>9.1994909685252993E-2</v>
      </c>
      <c r="D50" s="196">
        <f t="shared" si="1"/>
        <v>781.62252743926115</v>
      </c>
      <c r="E50" s="197" t="str">
        <f t="shared" si="12"/>
        <v/>
      </c>
      <c r="F50" s="198" t="str">
        <f t="shared" si="9"/>
        <v/>
      </c>
      <c r="G50" s="199" t="str">
        <f t="shared" si="13"/>
        <v/>
      </c>
      <c r="H50" s="199" t="str">
        <f>IFERROR(ROUND(IF(E50="","",($H$44-SUM($F$44:F50))),2),"")</f>
        <v/>
      </c>
      <c r="I50" s="199"/>
      <c r="J50" s="200">
        <f t="shared" si="2"/>
        <v>60</v>
      </c>
      <c r="K50" s="201">
        <f t="shared" si="10"/>
        <v>60</v>
      </c>
      <c r="L50" s="202">
        <f t="shared" si="11"/>
        <v>2.1020201002E-2</v>
      </c>
      <c r="M50" s="203">
        <f t="shared" si="3"/>
        <v>0</v>
      </c>
      <c r="N50" s="204">
        <f t="shared" si="4"/>
        <v>781.62252743926115</v>
      </c>
      <c r="O50" s="205">
        <f t="shared" si="5"/>
        <v>721.62252743926115</v>
      </c>
      <c r="P50" s="206">
        <f t="shared" si="6"/>
        <v>-5552.6365757403564</v>
      </c>
      <c r="Q50" s="210">
        <f>NPV($F$36,O44:O50)</f>
        <v>-5552.6365757403564</v>
      </c>
      <c r="R50" s="193">
        <f t="shared" si="0"/>
        <v>1</v>
      </c>
      <c r="S50" s="208"/>
      <c r="T50" s="150"/>
      <c r="U50" s="145"/>
      <c r="V50" s="145"/>
      <c r="W50" s="145"/>
      <c r="X50" s="145"/>
      <c r="Y50" s="145"/>
      <c r="Z50" s="145"/>
      <c r="AA50" s="145"/>
      <c r="AB50" s="145"/>
      <c r="AC50" s="145"/>
    </row>
    <row r="51" spans="1:29" ht="15.5" x14ac:dyDescent="0.35">
      <c r="A51" s="193">
        <v>7</v>
      </c>
      <c r="B51" s="194">
        <f t="shared" si="7"/>
        <v>8453.8853015117893</v>
      </c>
      <c r="C51" s="209">
        <f t="shared" si="8"/>
        <v>9.2914858782105522E-2</v>
      </c>
      <c r="D51" s="196">
        <f t="shared" si="1"/>
        <v>785.4915589500855</v>
      </c>
      <c r="E51" s="197" t="str">
        <f t="shared" si="12"/>
        <v/>
      </c>
      <c r="F51" s="198" t="str">
        <f t="shared" si="9"/>
        <v/>
      </c>
      <c r="G51" s="199" t="str">
        <f t="shared" si="13"/>
        <v/>
      </c>
      <c r="H51" s="199" t="str">
        <f>IFERROR(ROUND(IF(E51="","",($H$44-SUM($F$44:F51))),2),"")</f>
        <v/>
      </c>
      <c r="I51" s="199"/>
      <c r="J51" s="200">
        <f t="shared" si="2"/>
        <v>60</v>
      </c>
      <c r="K51" s="201">
        <f t="shared" si="10"/>
        <v>60</v>
      </c>
      <c r="L51" s="202">
        <f t="shared" si="11"/>
        <v>2.1230403012020001E-2</v>
      </c>
      <c r="M51" s="203">
        <f t="shared" si="3"/>
        <v>0</v>
      </c>
      <c r="N51" s="204">
        <f t="shared" si="4"/>
        <v>785.4915589500855</v>
      </c>
      <c r="O51" s="205">
        <f t="shared" si="5"/>
        <v>725.4915589500855</v>
      </c>
      <c r="P51" s="206">
        <f t="shared" si="6"/>
        <v>-4827.1450167902713</v>
      </c>
      <c r="Q51" s="210">
        <f>NPV($F$36,O44:O51)</f>
        <v>-4827.1450167902713</v>
      </c>
      <c r="R51" s="193">
        <f t="shared" si="0"/>
        <v>1</v>
      </c>
      <c r="S51" s="208"/>
      <c r="T51" s="150"/>
      <c r="U51" s="145"/>
      <c r="V51" s="145"/>
      <c r="W51" s="145"/>
      <c r="X51" s="145"/>
      <c r="Y51" s="145"/>
      <c r="Z51" s="145"/>
      <c r="AA51" s="145"/>
      <c r="AB51" s="145"/>
      <c r="AC51" s="145"/>
    </row>
    <row r="52" spans="1:29" ht="15.5" x14ac:dyDescent="0.35">
      <c r="A52" s="193">
        <v>8</v>
      </c>
      <c r="B52" s="194">
        <f t="shared" si="7"/>
        <v>8411.6158750042305</v>
      </c>
      <c r="C52" s="209">
        <f t="shared" si="8"/>
        <v>9.3844007369926583E-2</v>
      </c>
      <c r="D52" s="196">
        <f t="shared" si="1"/>
        <v>789.37974216688849</v>
      </c>
      <c r="E52" s="197" t="str">
        <f t="shared" si="12"/>
        <v/>
      </c>
      <c r="F52" s="198" t="str">
        <f t="shared" si="9"/>
        <v/>
      </c>
      <c r="G52" s="199" t="str">
        <f t="shared" si="13"/>
        <v/>
      </c>
      <c r="H52" s="199" t="str">
        <f>IFERROR(ROUND(IF(E52="","",($H$44-SUM($F$44:F52))),2),"")</f>
        <v/>
      </c>
      <c r="I52" s="199"/>
      <c r="J52" s="200">
        <f t="shared" si="2"/>
        <v>60</v>
      </c>
      <c r="K52" s="201">
        <f t="shared" si="10"/>
        <v>60</v>
      </c>
      <c r="L52" s="202">
        <f t="shared" si="11"/>
        <v>2.1442707042140203E-2</v>
      </c>
      <c r="M52" s="203">
        <f t="shared" si="3"/>
        <v>0</v>
      </c>
      <c r="N52" s="204">
        <f t="shared" si="4"/>
        <v>789.37974216688849</v>
      </c>
      <c r="O52" s="205">
        <f t="shared" si="5"/>
        <v>729.37974216688849</v>
      </c>
      <c r="P52" s="206">
        <f t="shared" si="6"/>
        <v>-4097.7652746233825</v>
      </c>
      <c r="Q52" s="210">
        <f>NPV($F$36,O44:O52)</f>
        <v>-4097.7652746233825</v>
      </c>
      <c r="R52" s="193">
        <f t="shared" si="0"/>
        <v>1</v>
      </c>
      <c r="S52" s="208"/>
      <c r="T52" s="150"/>
      <c r="U52" s="145"/>
      <c r="V52" s="145"/>
      <c r="W52" s="145"/>
      <c r="X52" s="145"/>
      <c r="Y52" s="145"/>
      <c r="Z52" s="145"/>
      <c r="AA52" s="145"/>
      <c r="AB52" s="145"/>
      <c r="AC52" s="145"/>
    </row>
    <row r="53" spans="1:29" ht="15.5" x14ac:dyDescent="0.35">
      <c r="A53" s="193">
        <v>9</v>
      </c>
      <c r="B53" s="194">
        <f t="shared" si="7"/>
        <v>8369.5577956292091</v>
      </c>
      <c r="C53" s="209">
        <f t="shared" si="8"/>
        <v>9.478244744362585E-2</v>
      </c>
      <c r="D53" s="196">
        <f t="shared" si="1"/>
        <v>793.28717189061456</v>
      </c>
      <c r="E53" s="197" t="str">
        <f t="shared" si="12"/>
        <v/>
      </c>
      <c r="F53" s="198" t="str">
        <f t="shared" si="9"/>
        <v/>
      </c>
      <c r="G53" s="199" t="str">
        <f t="shared" si="13"/>
        <v/>
      </c>
      <c r="H53" s="199" t="str">
        <f>IFERROR(ROUND(IF(E53="","",($H$44-SUM($F$44:F53))),2),"")</f>
        <v/>
      </c>
      <c r="I53" s="199"/>
      <c r="J53" s="200">
        <f t="shared" si="2"/>
        <v>60</v>
      </c>
      <c r="K53" s="201">
        <f t="shared" si="10"/>
        <v>60</v>
      </c>
      <c r="L53" s="202">
        <f t="shared" si="11"/>
        <v>2.1657134112561604E-2</v>
      </c>
      <c r="M53" s="203">
        <f t="shared" si="3"/>
        <v>0</v>
      </c>
      <c r="N53" s="204">
        <f t="shared" si="4"/>
        <v>793.28717189061456</v>
      </c>
      <c r="O53" s="205">
        <f t="shared" si="5"/>
        <v>733.28717189061456</v>
      </c>
      <c r="P53" s="206">
        <f t="shared" si="6"/>
        <v>-3364.4781027327681</v>
      </c>
      <c r="Q53" s="210">
        <f>NPV($F$36,O44:O53)</f>
        <v>-3364.4781027327681</v>
      </c>
      <c r="R53" s="193">
        <f t="shared" si="0"/>
        <v>1</v>
      </c>
      <c r="S53" s="208"/>
      <c r="T53" s="150"/>
      <c r="U53" s="145"/>
      <c r="V53" s="145"/>
      <c r="W53" s="145"/>
      <c r="X53" s="145"/>
      <c r="Y53" s="145"/>
      <c r="Z53" s="145"/>
      <c r="AA53" s="145"/>
      <c r="AB53" s="145"/>
      <c r="AC53" s="145"/>
    </row>
    <row r="54" spans="1:29" ht="15.5" x14ac:dyDescent="0.35">
      <c r="A54" s="193">
        <v>10</v>
      </c>
      <c r="B54" s="194">
        <f t="shared" si="7"/>
        <v>8327.7100066510629</v>
      </c>
      <c r="C54" s="209">
        <f t="shared" si="8"/>
        <v>9.5730271918062104E-2</v>
      </c>
      <c r="D54" s="196">
        <f t="shared" si="1"/>
        <v>797.21394339147298</v>
      </c>
      <c r="E54" s="197" t="str">
        <f t="shared" si="12"/>
        <v/>
      </c>
      <c r="F54" s="198" t="str">
        <f t="shared" si="9"/>
        <v/>
      </c>
      <c r="G54" s="199" t="str">
        <f t="shared" si="13"/>
        <v/>
      </c>
      <c r="H54" s="199" t="str">
        <f>IFERROR(ROUND(IF(E54="","",($H$44-SUM($F$44:F54))),2),"")</f>
        <v/>
      </c>
      <c r="I54" s="199"/>
      <c r="J54" s="200">
        <f t="shared" si="2"/>
        <v>60</v>
      </c>
      <c r="K54" s="201">
        <f t="shared" si="10"/>
        <v>60</v>
      </c>
      <c r="L54" s="202">
        <f t="shared" si="11"/>
        <v>2.187370545368722E-2</v>
      </c>
      <c r="M54" s="203">
        <f t="shared" si="3"/>
        <v>0</v>
      </c>
      <c r="N54" s="204">
        <f t="shared" si="4"/>
        <v>797.21394339147298</v>
      </c>
      <c r="O54" s="205">
        <f t="shared" si="5"/>
        <v>737.21394339147298</v>
      </c>
      <c r="P54" s="206">
        <f t="shared" si="6"/>
        <v>-2627.264159341295</v>
      </c>
      <c r="Q54" s="210">
        <f>NPV($F$36,O44:O54)</f>
        <v>-2627.264159341295</v>
      </c>
      <c r="R54" s="193">
        <f t="shared" si="0"/>
        <v>1</v>
      </c>
      <c r="S54" s="208"/>
      <c r="T54" s="150"/>
      <c r="U54" s="145"/>
      <c r="V54" s="145"/>
      <c r="W54" s="145"/>
      <c r="X54" s="145"/>
      <c r="Y54" s="145"/>
      <c r="Z54" s="145"/>
      <c r="AA54" s="145"/>
      <c r="AB54" s="145"/>
      <c r="AC54" s="145"/>
    </row>
    <row r="55" spans="1:29" ht="15.5" x14ac:dyDescent="0.35">
      <c r="A55" s="193">
        <v>11</v>
      </c>
      <c r="B55" s="194">
        <f t="shared" si="7"/>
        <v>8286.0714566178085</v>
      </c>
      <c r="C55" s="209">
        <f t="shared" si="8"/>
        <v>9.6687574637242729E-2</v>
      </c>
      <c r="D55" s="196">
        <f t="shared" si="1"/>
        <v>801.16015241126092</v>
      </c>
      <c r="E55" s="197" t="str">
        <f t="shared" si="12"/>
        <v/>
      </c>
      <c r="F55" s="198" t="str">
        <f t="shared" si="9"/>
        <v/>
      </c>
      <c r="G55" s="199" t="str">
        <f t="shared" si="13"/>
        <v/>
      </c>
      <c r="H55" s="199" t="str">
        <f>IFERROR(ROUND(IF(E55="","",($H$44-SUM($F$44:F55))),2),"")</f>
        <v/>
      </c>
      <c r="I55" s="199"/>
      <c r="J55" s="200">
        <f t="shared" si="2"/>
        <v>60</v>
      </c>
      <c r="K55" s="201">
        <f t="shared" si="10"/>
        <v>60</v>
      </c>
      <c r="L55" s="202">
        <f t="shared" si="11"/>
        <v>2.2092442508224092E-2</v>
      </c>
      <c r="M55" s="203">
        <f t="shared" si="3"/>
        <v>0</v>
      </c>
      <c r="N55" s="204">
        <f t="shared" si="4"/>
        <v>801.16015241126092</v>
      </c>
      <c r="O55" s="205">
        <f t="shared" si="5"/>
        <v>741.16015241126092</v>
      </c>
      <c r="P55" s="206">
        <f t="shared" si="6"/>
        <v>-1886.1040069300341</v>
      </c>
      <c r="Q55" s="210">
        <f>NPV($F$36,O44:O55)</f>
        <v>-1886.1040069300341</v>
      </c>
      <c r="R55" s="193">
        <f t="shared" si="0"/>
        <v>1</v>
      </c>
      <c r="S55" s="208"/>
      <c r="T55" s="150"/>
      <c r="U55" s="145"/>
      <c r="V55" s="145"/>
      <c r="W55" s="145"/>
      <c r="X55" s="145"/>
      <c r="Y55" s="145"/>
      <c r="Z55" s="145"/>
      <c r="AA55" s="145"/>
      <c r="AB55" s="145"/>
      <c r="AC55" s="145"/>
    </row>
    <row r="56" spans="1:29" ht="15.5" x14ac:dyDescent="0.35">
      <c r="A56" s="193">
        <v>12</v>
      </c>
      <c r="B56" s="194">
        <f t="shared" si="7"/>
        <v>8244.6410993347199</v>
      </c>
      <c r="C56" s="209">
        <f t="shared" si="8"/>
        <v>9.7654450383615157E-2</v>
      </c>
      <c r="D56" s="196">
        <f t="shared" si="1"/>
        <v>805.12589516569676</v>
      </c>
      <c r="E56" s="197" t="str">
        <f t="shared" si="12"/>
        <v/>
      </c>
      <c r="F56" s="198" t="str">
        <f t="shared" si="9"/>
        <v/>
      </c>
      <c r="G56" s="199" t="str">
        <f t="shared" si="13"/>
        <v/>
      </c>
      <c r="H56" s="199" t="str">
        <f>IFERROR(ROUND(IF(E56="","",($H$44-SUM($F$44:F56))),2),"")</f>
        <v/>
      </c>
      <c r="I56" s="199"/>
      <c r="J56" s="200">
        <f t="shared" si="2"/>
        <v>60</v>
      </c>
      <c r="K56" s="201">
        <f t="shared" si="10"/>
        <v>60</v>
      </c>
      <c r="L56" s="202">
        <f t="shared" si="11"/>
        <v>2.2313366933306333E-2</v>
      </c>
      <c r="M56" s="203">
        <f t="shared" si="3"/>
        <v>0</v>
      </c>
      <c r="N56" s="204">
        <f t="shared" si="4"/>
        <v>805.12589516569676</v>
      </c>
      <c r="O56" s="205">
        <f t="shared" si="5"/>
        <v>745.12589516569676</v>
      </c>
      <c r="P56" s="206">
        <f t="shared" si="6"/>
        <v>-1140.9781117643374</v>
      </c>
      <c r="Q56" s="210">
        <f>NPV($F$36,O44:O56)</f>
        <v>-1140.9781117643374</v>
      </c>
      <c r="R56" s="193">
        <f t="shared" si="0"/>
        <v>1</v>
      </c>
      <c r="S56" s="208"/>
      <c r="T56" s="150"/>
      <c r="U56" s="145"/>
      <c r="V56" s="145"/>
      <c r="W56" s="145"/>
      <c r="X56" s="145"/>
      <c r="Y56" s="145"/>
      <c r="Z56" s="145"/>
      <c r="AA56" s="145"/>
      <c r="AB56" s="145"/>
      <c r="AC56" s="145"/>
    </row>
    <row r="57" spans="1:29" ht="15.5" x14ac:dyDescent="0.35">
      <c r="A57" s="193">
        <v>13</v>
      </c>
      <c r="B57" s="194">
        <f t="shared" si="7"/>
        <v>8203.4178938380464</v>
      </c>
      <c r="C57" s="209">
        <f t="shared" si="8"/>
        <v>9.8630994887451306E-2</v>
      </c>
      <c r="D57" s="196">
        <f t="shared" si="1"/>
        <v>809.11126834676691</v>
      </c>
      <c r="E57" s="197" t="str">
        <f t="shared" si="12"/>
        <v/>
      </c>
      <c r="F57" s="198" t="str">
        <f t="shared" si="9"/>
        <v/>
      </c>
      <c r="G57" s="199" t="str">
        <f t="shared" si="13"/>
        <v/>
      </c>
      <c r="H57" s="199" t="str">
        <f>IFERROR(ROUND(IF(E57="","",($H$44-SUM($F$44:F57))),2),"")</f>
        <v/>
      </c>
      <c r="I57" s="199"/>
      <c r="J57" s="200">
        <f t="shared" si="2"/>
        <v>60</v>
      </c>
      <c r="K57" s="201">
        <f t="shared" si="10"/>
        <v>60</v>
      </c>
      <c r="L57" s="202">
        <f t="shared" si="11"/>
        <v>2.2536500602639398E-2</v>
      </c>
      <c r="M57" s="203">
        <f t="shared" si="3"/>
        <v>0</v>
      </c>
      <c r="N57" s="204">
        <f t="shared" si="4"/>
        <v>809.11126834676691</v>
      </c>
      <c r="O57" s="205">
        <f t="shared" si="5"/>
        <v>749.11126834676691</v>
      </c>
      <c r="P57" s="206">
        <f t="shared" si="6"/>
        <v>-391.86684341757052</v>
      </c>
      <c r="Q57" s="210">
        <f>NPV($F$36,O44:O57)</f>
        <v>-391.86684341757052</v>
      </c>
      <c r="R57" s="193">
        <f t="shared" si="0"/>
        <v>1</v>
      </c>
      <c r="S57" s="208"/>
      <c r="T57" s="150"/>
      <c r="U57" s="145"/>
      <c r="V57" s="145"/>
      <c r="W57" s="145"/>
      <c r="X57" s="145"/>
      <c r="Y57" s="145"/>
      <c r="Z57" s="145"/>
      <c r="AA57" s="145"/>
      <c r="AB57" s="145"/>
      <c r="AC57" s="145"/>
    </row>
    <row r="58" spans="1:29" ht="15.5" x14ac:dyDescent="0.35">
      <c r="A58" s="193">
        <v>14</v>
      </c>
      <c r="B58" s="194">
        <f t="shared" si="7"/>
        <v>8162.4008043688564</v>
      </c>
      <c r="C58" s="209">
        <f t="shared" si="8"/>
        <v>9.9617304836325818E-2</v>
      </c>
      <c r="D58" s="196">
        <f t="shared" si="1"/>
        <v>813.11636912508345</v>
      </c>
      <c r="E58" s="197" t="str">
        <f t="shared" si="12"/>
        <v/>
      </c>
      <c r="F58" s="198" t="str">
        <f t="shared" si="9"/>
        <v/>
      </c>
      <c r="G58" s="199" t="str">
        <f t="shared" si="13"/>
        <v/>
      </c>
      <c r="H58" s="199" t="str">
        <f>IFERROR(ROUND(IF(E58="","",($H$44-SUM($F$44:F58))),2),"")</f>
        <v/>
      </c>
      <c r="I58" s="199"/>
      <c r="J58" s="200">
        <f>$F$38</f>
        <v>60</v>
      </c>
      <c r="K58" s="201">
        <f t="shared" si="10"/>
        <v>60</v>
      </c>
      <c r="L58" s="202">
        <f t="shared" si="11"/>
        <v>2.2761865608665791E-2</v>
      </c>
      <c r="M58" s="203">
        <f t="shared" si="3"/>
        <v>0</v>
      </c>
      <c r="N58" s="204">
        <f t="shared" si="4"/>
        <v>813.11636912508345</v>
      </c>
      <c r="O58" s="205">
        <f t="shared" si="5"/>
        <v>753.11636912508345</v>
      </c>
      <c r="P58" s="206">
        <f t="shared" si="6"/>
        <v>361.24952570751293</v>
      </c>
      <c r="Q58" s="210">
        <f>NPV($F$36,O44:O58)</f>
        <v>361.24952570751293</v>
      </c>
      <c r="R58" s="193">
        <f t="shared" si="0"/>
        <v>0</v>
      </c>
      <c r="S58" s="208"/>
      <c r="T58" s="150"/>
      <c r="U58" s="145"/>
      <c r="V58" s="145"/>
      <c r="W58" s="145"/>
      <c r="X58" s="145"/>
      <c r="Y58" s="145"/>
      <c r="Z58" s="145"/>
      <c r="AA58" s="145"/>
      <c r="AB58" s="145"/>
      <c r="AC58" s="145"/>
    </row>
    <row r="59" spans="1:29" ht="15.5" x14ac:dyDescent="0.35">
      <c r="A59" s="193">
        <v>15</v>
      </c>
      <c r="B59" s="194">
        <f t="shared" si="7"/>
        <v>8121.5888003470118</v>
      </c>
      <c r="C59" s="209">
        <f t="shared" si="8"/>
        <v>0.10061347788468908</v>
      </c>
      <c r="D59" s="196">
        <f t="shared" si="1"/>
        <v>817.14129515225261</v>
      </c>
      <c r="E59" s="197" t="str">
        <f t="shared" si="12"/>
        <v/>
      </c>
      <c r="F59" s="198" t="str">
        <f t="shared" si="9"/>
        <v/>
      </c>
      <c r="G59" s="199" t="str">
        <f t="shared" si="13"/>
        <v/>
      </c>
      <c r="H59" s="199" t="str">
        <f>IFERROR(ROUND(IF(E59="","",($H$44-SUM($F$44:F59))),2),"")</f>
        <v/>
      </c>
      <c r="I59" s="199"/>
      <c r="J59" s="200">
        <f>$F$38+F27*F37</f>
        <v>1020</v>
      </c>
      <c r="K59" s="201">
        <f t="shared" si="10"/>
        <v>1020</v>
      </c>
      <c r="L59" s="202">
        <f t="shared" si="11"/>
        <v>2.298948426475245E-2</v>
      </c>
      <c r="M59" s="203">
        <f t="shared" si="3"/>
        <v>0</v>
      </c>
      <c r="N59" s="204">
        <f t="shared" si="4"/>
        <v>817.14129515225261</v>
      </c>
      <c r="O59" s="205">
        <f t="shared" si="5"/>
        <v>-202.85870484774739</v>
      </c>
      <c r="P59" s="206">
        <f t="shared" si="6"/>
        <v>158.39082085976554</v>
      </c>
      <c r="Q59" s="210">
        <f>NPV($F$36,O44:O59)</f>
        <v>158.39082085976554</v>
      </c>
      <c r="R59" s="193">
        <f t="shared" si="0"/>
        <v>0</v>
      </c>
      <c r="S59" s="208"/>
      <c r="T59" s="150"/>
      <c r="U59" s="145"/>
      <c r="V59" s="145"/>
      <c r="W59" s="145"/>
      <c r="X59" s="145"/>
      <c r="Y59" s="145"/>
      <c r="Z59" s="145"/>
      <c r="AA59" s="145"/>
      <c r="AB59" s="145"/>
      <c r="AC59" s="145"/>
    </row>
    <row r="60" spans="1:29" ht="15.5" x14ac:dyDescent="0.35">
      <c r="A60" s="193">
        <v>16</v>
      </c>
      <c r="B60" s="194">
        <f t="shared" si="7"/>
        <v>8080.9808563452771</v>
      </c>
      <c r="C60" s="209">
        <f t="shared" si="8"/>
        <v>0.10161961266353597</v>
      </c>
      <c r="D60" s="196">
        <f t="shared" si="1"/>
        <v>821.18614456325633</v>
      </c>
      <c r="E60" s="197" t="str">
        <f t="shared" si="12"/>
        <v/>
      </c>
      <c r="F60" s="198" t="str">
        <f t="shared" si="9"/>
        <v/>
      </c>
      <c r="G60" s="199" t="str">
        <f t="shared" si="13"/>
        <v/>
      </c>
      <c r="H60" s="199" t="str">
        <f>IFERROR(ROUND(IF(E60="","",($H$44-SUM($F$44:F60))),2),"")</f>
        <v/>
      </c>
      <c r="I60" s="199"/>
      <c r="J60" s="200">
        <f t="shared" ref="J60:J74" si="14">$F$38</f>
        <v>60</v>
      </c>
      <c r="K60" s="201">
        <f t="shared" si="10"/>
        <v>60</v>
      </c>
      <c r="L60" s="202">
        <f t="shared" si="11"/>
        <v>2.3219379107399976E-2</v>
      </c>
      <c r="M60" s="203">
        <f t="shared" si="3"/>
        <v>0</v>
      </c>
      <c r="N60" s="204">
        <f t="shared" si="4"/>
        <v>821.18614456325633</v>
      </c>
      <c r="O60" s="205">
        <f t="shared" si="5"/>
        <v>761.18614456325633</v>
      </c>
      <c r="P60" s="206">
        <f t="shared" si="6"/>
        <v>919.57696542302187</v>
      </c>
      <c r="Q60" s="210">
        <f>NPV($F$36,O44:O60)</f>
        <v>919.57696542302187</v>
      </c>
      <c r="R60" s="193">
        <f t="shared" si="0"/>
        <v>0</v>
      </c>
      <c r="S60" s="208"/>
      <c r="T60" s="150"/>
      <c r="U60" s="145"/>
      <c r="V60" s="145"/>
      <c r="W60" s="145"/>
      <c r="X60" s="145"/>
      <c r="Y60" s="145"/>
      <c r="Z60" s="145"/>
      <c r="AA60" s="145"/>
      <c r="AB60" s="145"/>
      <c r="AC60" s="145"/>
    </row>
    <row r="61" spans="1:29" ht="15.5" x14ac:dyDescent="0.35">
      <c r="A61" s="193">
        <v>17</v>
      </c>
      <c r="B61" s="194">
        <f t="shared" si="7"/>
        <v>8040.5759520635511</v>
      </c>
      <c r="C61" s="209">
        <f t="shared" si="8"/>
        <v>0.10263580879017134</v>
      </c>
      <c r="D61" s="196">
        <f t="shared" si="1"/>
        <v>825.25101597884452</v>
      </c>
      <c r="E61" s="197" t="str">
        <f t="shared" si="12"/>
        <v/>
      </c>
      <c r="F61" s="198" t="str">
        <f t="shared" si="9"/>
        <v/>
      </c>
      <c r="G61" s="199" t="str">
        <f t="shared" si="13"/>
        <v/>
      </c>
      <c r="H61" s="199" t="str">
        <f>IFERROR(ROUND(IF(E61="","",($H$44-SUM($F$44:F61))),2),"")</f>
        <v/>
      </c>
      <c r="I61" s="199"/>
      <c r="J61" s="200">
        <f t="shared" si="14"/>
        <v>60</v>
      </c>
      <c r="K61" s="201">
        <f t="shared" si="10"/>
        <v>60</v>
      </c>
      <c r="L61" s="202">
        <f t="shared" si="11"/>
        <v>2.3451572898473976E-2</v>
      </c>
      <c r="M61" s="203">
        <f t="shared" si="3"/>
        <v>0</v>
      </c>
      <c r="N61" s="204">
        <f t="shared" si="4"/>
        <v>825.25101597884452</v>
      </c>
      <c r="O61" s="205">
        <f t="shared" si="5"/>
        <v>765.25101597884452</v>
      </c>
      <c r="P61" s="206">
        <f t="shared" si="6"/>
        <v>1684.8279814018665</v>
      </c>
      <c r="Q61" s="210">
        <f>NPV($F$36,O44:O61)</f>
        <v>1684.8279814018665</v>
      </c>
      <c r="R61" s="193">
        <f t="shared" si="0"/>
        <v>0</v>
      </c>
      <c r="S61" s="208"/>
      <c r="T61" s="150"/>
      <c r="U61" s="145"/>
      <c r="V61" s="145"/>
      <c r="W61" s="145"/>
      <c r="X61" s="145"/>
      <c r="Y61" s="145"/>
      <c r="Z61" s="145"/>
      <c r="AA61" s="145"/>
      <c r="AB61" s="145"/>
      <c r="AC61" s="145"/>
    </row>
    <row r="62" spans="1:29" ht="15.5" x14ac:dyDescent="0.35">
      <c r="A62" s="193">
        <v>18</v>
      </c>
      <c r="B62" s="194">
        <f t="shared" si="7"/>
        <v>8000.3730723032331</v>
      </c>
      <c r="C62" s="209">
        <f t="shared" si="8"/>
        <v>0.10366216687807306</v>
      </c>
      <c r="D62" s="196">
        <f t="shared" si="1"/>
        <v>829.33600850793982</v>
      </c>
      <c r="E62" s="197" t="str">
        <f t="shared" si="12"/>
        <v/>
      </c>
      <c r="F62" s="198" t="str">
        <f t="shared" si="9"/>
        <v/>
      </c>
      <c r="G62" s="199" t="str">
        <f t="shared" si="13"/>
        <v/>
      </c>
      <c r="H62" s="199" t="str">
        <f>IFERROR(ROUND(IF(E62="","",($H$44-SUM($F$44:F62))),2),"")</f>
        <v/>
      </c>
      <c r="I62" s="199"/>
      <c r="J62" s="200">
        <f t="shared" si="14"/>
        <v>60</v>
      </c>
      <c r="K62" s="201">
        <f t="shared" si="10"/>
        <v>60</v>
      </c>
      <c r="L62" s="202">
        <f t="shared" si="11"/>
        <v>2.3686088627458714E-2</v>
      </c>
      <c r="M62" s="203">
        <f t="shared" si="3"/>
        <v>0</v>
      </c>
      <c r="N62" s="204">
        <f t="shared" si="4"/>
        <v>829.33600850793982</v>
      </c>
      <c r="O62" s="205">
        <f t="shared" si="5"/>
        <v>769.33600850793982</v>
      </c>
      <c r="P62" s="206">
        <f t="shared" si="6"/>
        <v>2454.1639899098063</v>
      </c>
      <c r="Q62" s="210">
        <f>NPV($F$36,O44:O62)</f>
        <v>2454.1639899098063</v>
      </c>
      <c r="R62" s="193">
        <f t="shared" si="0"/>
        <v>0</v>
      </c>
      <c r="S62" s="208"/>
      <c r="T62" s="150"/>
      <c r="U62" s="145"/>
      <c r="V62" s="145"/>
      <c r="W62" s="145"/>
      <c r="X62" s="145"/>
      <c r="Y62" s="145"/>
      <c r="Z62" s="145"/>
      <c r="AA62" s="145"/>
      <c r="AB62" s="145"/>
      <c r="AC62" s="145"/>
    </row>
    <row r="63" spans="1:29" ht="15.5" x14ac:dyDescent="0.35">
      <c r="A63" s="193">
        <v>19</v>
      </c>
      <c r="B63" s="194">
        <f t="shared" si="7"/>
        <v>7960.371206941717</v>
      </c>
      <c r="C63" s="209">
        <f t="shared" si="8"/>
        <v>0.10469878854685379</v>
      </c>
      <c r="D63" s="196">
        <f t="shared" si="1"/>
        <v>833.44122175005407</v>
      </c>
      <c r="E63" s="197" t="str">
        <f t="shared" si="12"/>
        <v/>
      </c>
      <c r="F63" s="198" t="str">
        <f t="shared" si="9"/>
        <v/>
      </c>
      <c r="G63" s="199" t="str">
        <f t="shared" si="13"/>
        <v/>
      </c>
      <c r="H63" s="199" t="str">
        <f>IFERROR(ROUND(IF(E63="","",($H$44-SUM($F$44:F63))),2),"")</f>
        <v/>
      </c>
      <c r="I63" s="199"/>
      <c r="J63" s="200">
        <f t="shared" si="14"/>
        <v>60</v>
      </c>
      <c r="K63" s="201">
        <f t="shared" si="10"/>
        <v>60</v>
      </c>
      <c r="L63" s="202">
        <f t="shared" si="11"/>
        <v>2.3922949513733301E-2</v>
      </c>
      <c r="M63" s="203">
        <f t="shared" si="3"/>
        <v>0</v>
      </c>
      <c r="N63" s="204">
        <f t="shared" si="4"/>
        <v>833.44122175005407</v>
      </c>
      <c r="O63" s="205">
        <f t="shared" si="5"/>
        <v>773.44122175005407</v>
      </c>
      <c r="P63" s="206">
        <f t="shared" si="6"/>
        <v>3227.6052116598603</v>
      </c>
      <c r="Q63" s="210">
        <f>NPV($F$36,O44:O63)</f>
        <v>3227.6052116598603</v>
      </c>
      <c r="R63" s="193">
        <f t="shared" si="0"/>
        <v>0</v>
      </c>
      <c r="S63" s="208"/>
      <c r="T63" s="150"/>
      <c r="U63" s="145"/>
      <c r="V63" s="145"/>
      <c r="W63" s="145"/>
      <c r="X63" s="145"/>
      <c r="Y63" s="145"/>
      <c r="Z63" s="145"/>
      <c r="AA63" s="145"/>
      <c r="AB63" s="145"/>
      <c r="AC63" s="145"/>
    </row>
    <row r="64" spans="1:29" ht="15.5" x14ac:dyDescent="0.35">
      <c r="A64" s="193">
        <v>20</v>
      </c>
      <c r="B64" s="194">
        <f t="shared" si="7"/>
        <v>7920.5693509070088</v>
      </c>
      <c r="C64" s="209">
        <f t="shared" si="8"/>
        <v>0.10574577643232233</v>
      </c>
      <c r="D64" s="196">
        <f t="shared" si="1"/>
        <v>837.56675579771695</v>
      </c>
      <c r="E64" s="197" t="str">
        <f t="shared" si="12"/>
        <v/>
      </c>
      <c r="F64" s="198" t="str">
        <f t="shared" si="9"/>
        <v/>
      </c>
      <c r="G64" s="199" t="str">
        <f t="shared" si="13"/>
        <v/>
      </c>
      <c r="H64" s="199" t="str">
        <f>IFERROR(ROUND(IF(E64="","",($H$44-SUM($F$44:F64))),2),"")</f>
        <v/>
      </c>
      <c r="I64" s="199"/>
      <c r="J64" s="200">
        <f t="shared" si="14"/>
        <v>60</v>
      </c>
      <c r="K64" s="201">
        <f t="shared" si="10"/>
        <v>60</v>
      </c>
      <c r="L64" s="202">
        <f t="shared" si="11"/>
        <v>2.4162179008870636E-2</v>
      </c>
      <c r="M64" s="203">
        <f t="shared" si="3"/>
        <v>0</v>
      </c>
      <c r="N64" s="204">
        <f t="shared" si="4"/>
        <v>837.56675579771695</v>
      </c>
      <c r="O64" s="205">
        <f t="shared" si="5"/>
        <v>777.56675579771695</v>
      </c>
      <c r="P64" s="206">
        <f t="shared" si="6"/>
        <v>4005.171967457577</v>
      </c>
      <c r="Q64" s="210">
        <f>NPV($F$36,O44:O64)</f>
        <v>4005.171967457577</v>
      </c>
      <c r="R64" s="193">
        <f t="shared" si="0"/>
        <v>0</v>
      </c>
      <c r="S64" s="208"/>
      <c r="T64" s="150"/>
      <c r="U64" s="145"/>
      <c r="V64" s="145"/>
      <c r="W64" s="145"/>
      <c r="X64" s="145"/>
      <c r="Y64" s="145"/>
      <c r="Z64" s="145"/>
      <c r="AA64" s="145"/>
      <c r="AB64" s="145"/>
      <c r="AC64" s="145"/>
    </row>
    <row r="65" spans="1:29" ht="15.5" x14ac:dyDescent="0.35">
      <c r="A65" s="193">
        <v>21</v>
      </c>
      <c r="B65" s="194">
        <f t="shared" si="7"/>
        <v>7880.966504152474</v>
      </c>
      <c r="C65" s="209">
        <f t="shared" si="8"/>
        <v>0.10680323419664556</v>
      </c>
      <c r="D65" s="196">
        <f t="shared" si="1"/>
        <v>841.71271123891574</v>
      </c>
      <c r="E65" s="197"/>
      <c r="F65" s="198"/>
      <c r="G65" s="199" t="s">
        <v>4</v>
      </c>
      <c r="H65" s="199"/>
      <c r="I65" s="199"/>
      <c r="J65" s="200">
        <f t="shared" si="14"/>
        <v>60</v>
      </c>
      <c r="K65" s="201">
        <f t="shared" si="10"/>
        <v>60</v>
      </c>
      <c r="L65" s="202">
        <f t="shared" si="11"/>
        <v>2.4403800798959343E-2</v>
      </c>
      <c r="M65" s="203">
        <f t="shared" si="3"/>
        <v>0</v>
      </c>
      <c r="N65" s="204">
        <f t="shared" si="4"/>
        <v>841.71271123891574</v>
      </c>
      <c r="O65" s="205">
        <f t="shared" si="5"/>
        <v>781.71271123891574</v>
      </c>
      <c r="P65" s="206">
        <f t="shared" si="6"/>
        <v>4786.8846786964932</v>
      </c>
      <c r="Q65" s="210">
        <f>NPV($F$36,O44:O65)</f>
        <v>4786.8846786964932</v>
      </c>
      <c r="R65" s="193">
        <f t="shared" si="0"/>
        <v>0</v>
      </c>
      <c r="S65" s="208"/>
      <c r="T65" s="150"/>
      <c r="U65" s="145"/>
      <c r="V65" s="145"/>
      <c r="W65" s="145"/>
      <c r="X65" s="145"/>
      <c r="Y65" s="145"/>
      <c r="Z65" s="145"/>
      <c r="AA65" s="145"/>
      <c r="AB65" s="145"/>
      <c r="AC65" s="145"/>
    </row>
    <row r="66" spans="1:29" ht="15.5" x14ac:dyDescent="0.35">
      <c r="A66" s="193">
        <v>22</v>
      </c>
      <c r="B66" s="194">
        <f t="shared" si="7"/>
        <v>7841.5616716317118</v>
      </c>
      <c r="C66" s="209">
        <f t="shared" si="8"/>
        <v>0.10787126653861201</v>
      </c>
      <c r="D66" s="196">
        <f t="shared" si="1"/>
        <v>845.87918915954833</v>
      </c>
      <c r="E66" s="197"/>
      <c r="F66" s="198"/>
      <c r="G66" s="199" t="s">
        <v>4</v>
      </c>
      <c r="H66" s="199"/>
      <c r="I66" s="199"/>
      <c r="J66" s="200">
        <f t="shared" si="14"/>
        <v>60</v>
      </c>
      <c r="K66" s="201">
        <f t="shared" si="10"/>
        <v>60</v>
      </c>
      <c r="L66" s="202">
        <f t="shared" si="11"/>
        <v>2.4647838806948937E-2</v>
      </c>
      <c r="M66" s="203">
        <f t="shared" si="3"/>
        <v>0</v>
      </c>
      <c r="N66" s="204">
        <f t="shared" si="4"/>
        <v>845.87918915954833</v>
      </c>
      <c r="O66" s="205">
        <f t="shared" si="5"/>
        <v>785.87918915954833</v>
      </c>
      <c r="P66" s="206">
        <f t="shared" si="6"/>
        <v>5572.7638678560415</v>
      </c>
      <c r="Q66" s="210">
        <f>NPV($F$36,O44:O66)</f>
        <v>5572.7638678560415</v>
      </c>
      <c r="R66" s="193">
        <f t="shared" si="0"/>
        <v>0</v>
      </c>
      <c r="S66" s="208"/>
      <c r="T66" s="150"/>
      <c r="U66" s="145"/>
      <c r="V66" s="145"/>
      <c r="W66" s="145"/>
      <c r="X66" s="145"/>
      <c r="Y66" s="145"/>
      <c r="Z66" s="145"/>
      <c r="AA66" s="145"/>
      <c r="AB66" s="145"/>
      <c r="AC66" s="145"/>
    </row>
    <row r="67" spans="1:29" ht="15.5" x14ac:dyDescent="0.35">
      <c r="A67" s="193">
        <v>23</v>
      </c>
      <c r="B67" s="194">
        <f t="shared" si="7"/>
        <v>7802.3538632735535</v>
      </c>
      <c r="C67" s="209">
        <f t="shared" si="8"/>
        <v>0.10894997920399813</v>
      </c>
      <c r="D67" s="196">
        <f t="shared" si="1"/>
        <v>850.06629114588804</v>
      </c>
      <c r="E67" s="197"/>
      <c r="F67" s="198"/>
      <c r="G67" s="199" t="s">
        <v>4</v>
      </c>
      <c r="H67" s="199"/>
      <c r="I67" s="199"/>
      <c r="J67" s="200">
        <f t="shared" si="14"/>
        <v>60</v>
      </c>
      <c r="K67" s="201">
        <f t="shared" si="10"/>
        <v>60</v>
      </c>
      <c r="L67" s="202">
        <f t="shared" si="11"/>
        <v>2.4894317195018428E-2</v>
      </c>
      <c r="M67" s="203">
        <f t="shared" si="3"/>
        <v>0</v>
      </c>
      <c r="N67" s="204">
        <f t="shared" si="4"/>
        <v>850.06629114588804</v>
      </c>
      <c r="O67" s="205">
        <f t="shared" si="5"/>
        <v>790.06629114588804</v>
      </c>
      <c r="P67" s="206">
        <f t="shared" si="6"/>
        <v>6362.8301590019291</v>
      </c>
      <c r="Q67" s="210">
        <f>NPV($F$36,O44:O67)</f>
        <v>6362.8301590019291</v>
      </c>
      <c r="R67" s="193">
        <f t="shared" si="0"/>
        <v>0</v>
      </c>
      <c r="S67" s="208"/>
      <c r="T67" s="150"/>
      <c r="U67" s="145"/>
      <c r="V67" s="145"/>
      <c r="W67" s="145"/>
      <c r="X67" s="145"/>
      <c r="Y67" s="145"/>
      <c r="Z67" s="145"/>
      <c r="AA67" s="145"/>
      <c r="AB67" s="145"/>
      <c r="AC67" s="145"/>
    </row>
    <row r="68" spans="1:29" ht="15.5" x14ac:dyDescent="0.35">
      <c r="A68" s="193">
        <v>24</v>
      </c>
      <c r="B68" s="194">
        <f t="shared" si="7"/>
        <v>7763.3420939571861</v>
      </c>
      <c r="C68" s="209">
        <f t="shared" si="8"/>
        <v>0.11003947899603811</v>
      </c>
      <c r="D68" s="196">
        <f t="shared" si="1"/>
        <v>854.27411928706033</v>
      </c>
      <c r="E68" s="197"/>
      <c r="F68" s="198"/>
      <c r="G68" s="199" t="s">
        <v>4</v>
      </c>
      <c r="H68" s="199"/>
      <c r="I68" s="199"/>
      <c r="J68" s="200">
        <f t="shared" si="14"/>
        <v>60</v>
      </c>
      <c r="K68" s="201">
        <f t="shared" si="10"/>
        <v>60</v>
      </c>
      <c r="L68" s="202">
        <f t="shared" si="11"/>
        <v>2.5143260366968612E-2</v>
      </c>
      <c r="M68" s="203">
        <f t="shared" si="3"/>
        <v>0</v>
      </c>
      <c r="N68" s="204">
        <f t="shared" si="4"/>
        <v>854.27411928706033</v>
      </c>
      <c r="O68" s="205">
        <f t="shared" si="5"/>
        <v>794.27411928706033</v>
      </c>
      <c r="P68" s="206">
        <f t="shared" si="6"/>
        <v>7157.104278288989</v>
      </c>
      <c r="Q68" s="210">
        <f>NPV($F$36,O44:O68)</f>
        <v>7157.104278288989</v>
      </c>
      <c r="R68" s="193">
        <f t="shared" si="0"/>
        <v>0</v>
      </c>
      <c r="S68" s="208"/>
      <c r="T68" s="150"/>
      <c r="U68" s="145"/>
      <c r="V68" s="145"/>
      <c r="W68" s="145"/>
      <c r="X68" s="145"/>
      <c r="Y68" s="145"/>
      <c r="Z68" s="145"/>
      <c r="AA68" s="145"/>
      <c r="AB68" s="145"/>
      <c r="AC68" s="145"/>
    </row>
    <row r="69" spans="1:29" ht="15.5" x14ac:dyDescent="0.35">
      <c r="A69" s="193">
        <v>25</v>
      </c>
      <c r="B69" s="194">
        <f t="shared" si="7"/>
        <v>7724.5253834874002</v>
      </c>
      <c r="C69" s="209">
        <f t="shared" si="8"/>
        <v>0.11113987378599849</v>
      </c>
      <c r="D69" s="196">
        <f t="shared" si="1"/>
        <v>858.50277617753125</v>
      </c>
      <c r="E69" s="197"/>
      <c r="F69" s="198"/>
      <c r="G69" s="199" t="s">
        <v>4</v>
      </c>
      <c r="H69" s="199"/>
      <c r="I69" s="199"/>
      <c r="J69" s="200">
        <f t="shared" si="14"/>
        <v>60</v>
      </c>
      <c r="K69" s="201">
        <f t="shared" si="10"/>
        <v>60</v>
      </c>
      <c r="L69" s="202">
        <f t="shared" si="11"/>
        <v>2.5394692970638299E-2</v>
      </c>
      <c r="M69" s="203">
        <f t="shared" si="3"/>
        <v>0</v>
      </c>
      <c r="N69" s="204">
        <f t="shared" si="4"/>
        <v>858.50277617753125</v>
      </c>
      <c r="O69" s="205">
        <f t="shared" si="5"/>
        <v>798.50277617753125</v>
      </c>
      <c r="P69" s="206">
        <f t="shared" si="6"/>
        <v>7955.6070544665199</v>
      </c>
      <c r="Q69" s="210">
        <f>NPV($F$36,O44:O69)</f>
        <v>7955.6070544665199</v>
      </c>
      <c r="R69" s="193">
        <f t="shared" si="0"/>
        <v>0</v>
      </c>
      <c r="S69" s="208"/>
      <c r="T69" s="150"/>
      <c r="U69" s="145"/>
      <c r="V69" s="145"/>
      <c r="W69" s="145"/>
      <c r="X69" s="145"/>
      <c r="Y69" s="145"/>
      <c r="Z69" s="145"/>
      <c r="AA69" s="145"/>
      <c r="AB69" s="145"/>
      <c r="AC69" s="145"/>
    </row>
    <row r="70" spans="1:29" ht="15.5" x14ac:dyDescent="0.35">
      <c r="A70" s="193">
        <v>26</v>
      </c>
      <c r="B70" s="194">
        <f t="shared" si="7"/>
        <v>7685.9027565699635</v>
      </c>
      <c r="C70" s="209">
        <f t="shared" si="8"/>
        <v>0.11225127252385847</v>
      </c>
      <c r="D70" s="196">
        <f t="shared" si="1"/>
        <v>862.75236491961005</v>
      </c>
      <c r="E70" s="197"/>
      <c r="F70" s="198"/>
      <c r="G70" s="199" t="s">
        <v>4</v>
      </c>
      <c r="H70" s="199"/>
      <c r="I70" s="199"/>
      <c r="J70" s="200">
        <f t="shared" si="14"/>
        <v>60</v>
      </c>
      <c r="K70" s="201">
        <f t="shared" si="10"/>
        <v>60</v>
      </c>
      <c r="L70" s="202">
        <f t="shared" si="11"/>
        <v>2.5648639900344682E-2</v>
      </c>
      <c r="M70" s="203">
        <f t="shared" si="3"/>
        <v>0</v>
      </c>
      <c r="N70" s="204">
        <f t="shared" si="4"/>
        <v>862.75236491961005</v>
      </c>
      <c r="O70" s="205">
        <f t="shared" si="5"/>
        <v>802.75236491961005</v>
      </c>
      <c r="P70" s="206">
        <f t="shared" si="6"/>
        <v>8758.35941938613</v>
      </c>
      <c r="Q70" s="210">
        <f>NPV($F$36,O44:O70)</f>
        <v>8758.35941938613</v>
      </c>
      <c r="R70" s="193">
        <f t="shared" si="0"/>
        <v>0</v>
      </c>
      <c r="S70" s="208"/>
      <c r="T70" s="150"/>
      <c r="U70" s="145"/>
      <c r="V70" s="145"/>
      <c r="W70" s="145"/>
      <c r="X70" s="145"/>
      <c r="Y70" s="145"/>
      <c r="Z70" s="145"/>
      <c r="AA70" s="145"/>
      <c r="AB70" s="145"/>
      <c r="AC70" s="145"/>
    </row>
    <row r="71" spans="1:29" ht="15.5" x14ac:dyDescent="0.35">
      <c r="A71" s="193">
        <v>27</v>
      </c>
      <c r="B71" s="194">
        <f t="shared" si="7"/>
        <v>7647.473242787114</v>
      </c>
      <c r="C71" s="209">
        <f t="shared" si="8"/>
        <v>0.11337378524909705</v>
      </c>
      <c r="D71" s="196">
        <f t="shared" si="1"/>
        <v>867.02298912596211</v>
      </c>
      <c r="E71" s="197"/>
      <c r="F71" s="198"/>
      <c r="G71" s="199" t="s">
        <v>4</v>
      </c>
      <c r="H71" s="199"/>
      <c r="I71" s="199"/>
      <c r="J71" s="200">
        <f t="shared" si="14"/>
        <v>60</v>
      </c>
      <c r="K71" s="201">
        <f t="shared" si="10"/>
        <v>60</v>
      </c>
      <c r="L71" s="202">
        <f t="shared" si="11"/>
        <v>2.590512629934813E-2</v>
      </c>
      <c r="M71" s="203">
        <f t="shared" si="3"/>
        <v>0</v>
      </c>
      <c r="N71" s="204">
        <f t="shared" si="4"/>
        <v>867.02298912596211</v>
      </c>
      <c r="O71" s="205">
        <f t="shared" si="5"/>
        <v>807.02298912596211</v>
      </c>
      <c r="P71" s="206">
        <f t="shared" si="6"/>
        <v>9565.3824085120923</v>
      </c>
      <c r="Q71" s="210">
        <f>NPV($F$36,O44:O71)</f>
        <v>9565.3824085120923</v>
      </c>
      <c r="R71" s="193">
        <f t="shared" si="0"/>
        <v>0</v>
      </c>
      <c r="S71" s="208"/>
      <c r="T71" s="150"/>
      <c r="U71" s="145"/>
      <c r="V71" s="145"/>
      <c r="W71" s="145"/>
      <c r="X71" s="145"/>
      <c r="Y71" s="145"/>
      <c r="Z71" s="145"/>
      <c r="AA71" s="145"/>
      <c r="AB71" s="145"/>
      <c r="AC71" s="145"/>
    </row>
    <row r="72" spans="1:29" ht="15.5" x14ac:dyDescent="0.35">
      <c r="A72" s="193">
        <v>28</v>
      </c>
      <c r="B72" s="194">
        <f t="shared" si="7"/>
        <v>7609.2358765731788</v>
      </c>
      <c r="C72" s="209">
        <f t="shared" si="8"/>
        <v>0.11450752310158803</v>
      </c>
      <c r="D72" s="196">
        <f t="shared" si="1"/>
        <v>871.31475292213565</v>
      </c>
      <c r="E72" s="197"/>
      <c r="F72" s="198"/>
      <c r="G72" s="199" t="s">
        <v>4</v>
      </c>
      <c r="H72" s="199"/>
      <c r="I72" s="199"/>
      <c r="J72" s="200">
        <f t="shared" si="14"/>
        <v>60</v>
      </c>
      <c r="K72" s="201">
        <f t="shared" si="10"/>
        <v>60</v>
      </c>
      <c r="L72" s="202">
        <f t="shared" si="11"/>
        <v>2.6164177562341611E-2</v>
      </c>
      <c r="M72" s="203">
        <f t="shared" si="3"/>
        <v>0</v>
      </c>
      <c r="N72" s="204">
        <f t="shared" si="4"/>
        <v>871.31475292213565</v>
      </c>
      <c r="O72" s="205">
        <f t="shared" si="5"/>
        <v>811.31475292213565</v>
      </c>
      <c r="P72" s="206">
        <f t="shared" si="6"/>
        <v>10376.697161434227</v>
      </c>
      <c r="Q72" s="210">
        <f>NPV($F$36,O44:O72)</f>
        <v>10376.697161434227</v>
      </c>
      <c r="R72" s="211">
        <f t="shared" si="0"/>
        <v>0</v>
      </c>
      <c r="S72" s="208"/>
      <c r="T72" s="150"/>
      <c r="U72" s="145"/>
      <c r="V72" s="145"/>
      <c r="W72" s="145"/>
      <c r="X72" s="145"/>
      <c r="Y72" s="145"/>
      <c r="Z72" s="145"/>
      <c r="AA72" s="145"/>
      <c r="AB72" s="145"/>
      <c r="AC72" s="145"/>
    </row>
    <row r="73" spans="1:29" ht="15.5" x14ac:dyDescent="0.35">
      <c r="A73" s="193">
        <v>29</v>
      </c>
      <c r="B73" s="212">
        <f t="shared" si="7"/>
        <v>7571.1896971903125</v>
      </c>
      <c r="C73" s="213">
        <f t="shared" si="8"/>
        <v>0.11565259833260391</v>
      </c>
      <c r="D73" s="214">
        <f t="shared" si="1"/>
        <v>875.62776094910021</v>
      </c>
      <c r="E73" s="215"/>
      <c r="F73" s="216"/>
      <c r="G73" s="199" t="s">
        <v>4</v>
      </c>
      <c r="H73" s="217"/>
      <c r="I73" s="217"/>
      <c r="J73" s="218">
        <f t="shared" si="14"/>
        <v>60</v>
      </c>
      <c r="K73" s="201">
        <f t="shared" si="10"/>
        <v>60</v>
      </c>
      <c r="L73" s="219">
        <f t="shared" si="11"/>
        <v>2.6425819337965027E-2</v>
      </c>
      <c r="M73" s="220">
        <f t="shared" si="3"/>
        <v>0</v>
      </c>
      <c r="N73" s="221">
        <f t="shared" si="4"/>
        <v>875.62776094910021</v>
      </c>
      <c r="O73" s="205">
        <f t="shared" si="5"/>
        <v>815.62776094910021</v>
      </c>
      <c r="P73" s="222">
        <f t="shared" si="6"/>
        <v>11192.324922383328</v>
      </c>
      <c r="Q73" s="210">
        <f>NPV($F$36,O44:O73)</f>
        <v>11192.324922383328</v>
      </c>
      <c r="R73" s="223">
        <f t="shared" si="0"/>
        <v>0</v>
      </c>
      <c r="S73" s="224"/>
      <c r="T73" s="225"/>
      <c r="U73" s="226"/>
      <c r="V73" s="226"/>
      <c r="W73" s="226"/>
      <c r="X73" s="226"/>
      <c r="Y73" s="226"/>
      <c r="Z73" s="226"/>
      <c r="AA73" s="226"/>
      <c r="AB73" s="226"/>
      <c r="AC73" s="226"/>
    </row>
    <row r="74" spans="1:29" ht="15.5" x14ac:dyDescent="0.35">
      <c r="A74" s="193">
        <v>30</v>
      </c>
      <c r="B74" s="212">
        <f t="shared" si="7"/>
        <v>7533.3337487043609</v>
      </c>
      <c r="C74" s="213">
        <f t="shared" si="8"/>
        <v>0.11680912431592995</v>
      </c>
      <c r="D74" s="214">
        <f t="shared" si="1"/>
        <v>879.96211836579823</v>
      </c>
      <c r="E74" s="215"/>
      <c r="F74" s="216"/>
      <c r="G74" s="199" t="s">
        <v>4</v>
      </c>
      <c r="H74" s="217"/>
      <c r="I74" s="217"/>
      <c r="J74" s="218">
        <f t="shared" si="14"/>
        <v>60</v>
      </c>
      <c r="K74" s="201">
        <f t="shared" si="10"/>
        <v>60</v>
      </c>
      <c r="L74" s="219">
        <f t="shared" si="11"/>
        <v>2.6690077531344676E-2</v>
      </c>
      <c r="M74" s="220">
        <f t="shared" si="3"/>
        <v>0</v>
      </c>
      <c r="N74" s="221">
        <f t="shared" si="4"/>
        <v>879.96211836579823</v>
      </c>
      <c r="O74" s="205">
        <f t="shared" si="5"/>
        <v>819.96211836579823</v>
      </c>
      <c r="P74" s="222">
        <f t="shared" si="6"/>
        <v>12012.287040749126</v>
      </c>
      <c r="Q74" s="210">
        <f>NPV($F$36,O44:O74)</f>
        <v>12012.287040749126</v>
      </c>
      <c r="R74" s="223">
        <f t="shared" si="0"/>
        <v>0</v>
      </c>
      <c r="S74" s="224"/>
      <c r="T74" s="225"/>
      <c r="U74" s="226"/>
      <c r="V74" s="226"/>
      <c r="W74" s="226"/>
      <c r="X74" s="226"/>
      <c r="Y74" s="226"/>
      <c r="Z74" s="226"/>
      <c r="AA74" s="226"/>
      <c r="AB74" s="226"/>
      <c r="AC74" s="226"/>
    </row>
    <row r="75" spans="1:29" ht="15.5" x14ac:dyDescent="0.35">
      <c r="A75" s="227" t="s">
        <v>34</v>
      </c>
      <c r="B75" s="228">
        <f>SUM(B44:B74)</f>
        <v>243266.58400783356</v>
      </c>
      <c r="C75" s="229"/>
      <c r="D75" s="230">
        <f>SUM(D44:D74)</f>
        <v>24597.287040749132</v>
      </c>
      <c r="E75" s="231"/>
      <c r="F75" s="231"/>
      <c r="G75" s="232">
        <f>SUM(G44:G74)</f>
        <v>225</v>
      </c>
      <c r="H75" s="232"/>
      <c r="I75" s="232"/>
      <c r="J75" s="233">
        <f>SUM(J44:J74)</f>
        <v>2760</v>
      </c>
      <c r="K75" s="232">
        <f>SUM(K44:K74)</f>
        <v>12585</v>
      </c>
      <c r="L75" s="229"/>
      <c r="M75" s="232">
        <f>SUM(M44:M74)</f>
        <v>0</v>
      </c>
      <c r="N75" s="233">
        <f>SUM(N44:N74)</f>
        <v>24597.287040749132</v>
      </c>
      <c r="O75" s="234"/>
      <c r="P75" s="235"/>
      <c r="Q75" s="236"/>
      <c r="R75" s="237">
        <f>SUM(R44:R73)</f>
        <v>13</v>
      </c>
      <c r="S75" s="225"/>
      <c r="T75" s="225"/>
      <c r="U75" s="226"/>
      <c r="V75" s="226"/>
      <c r="W75" s="226"/>
      <c r="X75" s="226"/>
      <c r="Y75" s="226"/>
      <c r="Z75" s="226"/>
      <c r="AA75" s="226"/>
      <c r="AB75" s="226"/>
      <c r="AC75" s="226"/>
    </row>
    <row r="76" spans="1:29" ht="15.5" x14ac:dyDescent="0.3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 thickBot="1" x14ac:dyDescent="0.4">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5" x14ac:dyDescent="0.35">
      <c r="A78" s="404" t="s">
        <v>200</v>
      </c>
      <c r="B78" s="405"/>
      <c r="C78" s="405"/>
      <c r="D78" s="406"/>
      <c r="E78" s="240">
        <f>Q74</f>
        <v>12012.287040749126</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5" x14ac:dyDescent="0.35">
      <c r="A79" s="407" t="s">
        <v>36</v>
      </c>
      <c r="B79" s="408"/>
      <c r="C79" s="408"/>
      <c r="D79" s="409"/>
      <c r="E79" s="242">
        <f>R75</f>
        <v>13</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35">
      <c r="A80" s="410" t="s">
        <v>38</v>
      </c>
      <c r="B80" s="410"/>
      <c r="C80" s="410"/>
      <c r="D80" s="410"/>
      <c r="E80" s="243">
        <f>IRR(O44:O74,0.1)</f>
        <v>6.9387035097793204E-2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3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35">
      <c r="A82" s="411" t="s">
        <v>40</v>
      </c>
      <c r="B82" s="395"/>
      <c r="C82" s="395"/>
      <c r="D82" s="396"/>
      <c r="E82" s="248">
        <f>K75*100/B75</f>
        <v>5.1733369181501487</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35">
      <c r="A83" s="397" t="s">
        <v>41</v>
      </c>
      <c r="B83" s="395"/>
      <c r="C83" s="395"/>
      <c r="D83" s="396"/>
      <c r="E83" s="250">
        <f>AVERAGE(C44:C74)*100</f>
        <v>10.149071853029742</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5" x14ac:dyDescent="0.3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5" x14ac:dyDescent="0.3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5" x14ac:dyDescent="0.3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5" x14ac:dyDescent="0.35">
      <c r="A87" s="398" t="s">
        <v>92</v>
      </c>
      <c r="B87" s="398"/>
      <c r="C87" s="398"/>
      <c r="D87" s="254">
        <v>84</v>
      </c>
      <c r="E87" s="253" t="s">
        <v>93</v>
      </c>
      <c r="F87" s="253" t="s">
        <v>4</v>
      </c>
      <c r="G87" s="253" t="s">
        <v>6</v>
      </c>
      <c r="H87" s="100">
        <v>2024</v>
      </c>
      <c r="I87" s="10" t="s">
        <v>270</v>
      </c>
      <c r="J87" s="145"/>
      <c r="K87" s="145"/>
      <c r="L87" s="145"/>
      <c r="M87" s="145"/>
      <c r="N87" s="145"/>
      <c r="O87" s="145"/>
      <c r="P87" s="145"/>
      <c r="Q87" s="145"/>
      <c r="R87" s="145"/>
      <c r="S87" s="145"/>
      <c r="T87" s="145"/>
      <c r="U87" s="145"/>
      <c r="V87" s="145"/>
      <c r="W87" s="145"/>
      <c r="X87" s="145"/>
      <c r="Y87" s="145"/>
      <c r="Z87" s="145"/>
    </row>
    <row r="88" spans="1:26" ht="15.5" x14ac:dyDescent="0.35">
      <c r="A88" s="398" t="s">
        <v>95</v>
      </c>
      <c r="B88" s="398"/>
      <c r="C88" s="398"/>
      <c r="D88" s="254">
        <v>106</v>
      </c>
      <c r="E88" s="253" t="s">
        <v>93</v>
      </c>
      <c r="F88" s="253"/>
      <c r="G88" s="253" t="s">
        <v>6</v>
      </c>
      <c r="H88" s="100">
        <v>2024</v>
      </c>
      <c r="I88" s="10" t="s">
        <v>270</v>
      </c>
      <c r="J88" s="145"/>
      <c r="K88" s="145"/>
      <c r="L88" s="145"/>
      <c r="M88" s="145"/>
      <c r="N88" s="145"/>
      <c r="O88" s="145"/>
      <c r="P88" s="145"/>
      <c r="Q88" s="145"/>
      <c r="R88" s="145"/>
      <c r="S88" s="145"/>
      <c r="T88" s="145"/>
      <c r="U88" s="145"/>
      <c r="V88" s="145"/>
      <c r="W88" s="145"/>
      <c r="X88" s="145"/>
      <c r="Y88" s="145"/>
      <c r="Z88" s="145"/>
    </row>
    <row r="89" spans="1:26" ht="15.5" x14ac:dyDescent="0.35">
      <c r="A89" s="398" t="s">
        <v>96</v>
      </c>
      <c r="B89" s="398"/>
      <c r="C89" s="398"/>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5" x14ac:dyDescent="0.35">
      <c r="A90" s="398" t="s">
        <v>97</v>
      </c>
      <c r="B90" s="398"/>
      <c r="C90" s="398"/>
      <c r="D90" s="255">
        <f>(F21*D87)/1000</f>
        <v>731.80799999999999</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5" x14ac:dyDescent="0.35">
      <c r="A91" s="398" t="s">
        <v>120</v>
      </c>
      <c r="B91" s="398"/>
      <c r="C91" s="398"/>
      <c r="D91" s="255">
        <f>(F21*D87)/1000-0</f>
        <v>731.80799999999999</v>
      </c>
      <c r="E91" s="253" t="s">
        <v>98</v>
      </c>
      <c r="F91" s="253"/>
      <c r="G91" s="253" t="s">
        <v>271</v>
      </c>
      <c r="H91" s="253"/>
      <c r="I91" s="10" t="s">
        <v>272</v>
      </c>
      <c r="J91" s="145"/>
      <c r="K91" s="145"/>
      <c r="L91" s="145"/>
      <c r="M91" s="145"/>
      <c r="N91" s="145"/>
      <c r="O91" s="145"/>
      <c r="P91" s="145"/>
      <c r="Q91" s="145"/>
      <c r="R91" s="145"/>
      <c r="S91" s="145"/>
      <c r="T91" s="145"/>
      <c r="U91" s="145"/>
      <c r="V91" s="145"/>
      <c r="W91" s="145"/>
      <c r="X91" s="145"/>
      <c r="Y91" s="145"/>
      <c r="Z91" s="145"/>
    </row>
    <row r="92" spans="1:26" ht="15.5" x14ac:dyDescent="0.3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5" x14ac:dyDescent="0.3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5" x14ac:dyDescent="0.35">
      <c r="A94" s="148" t="s">
        <v>201</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5" x14ac:dyDescent="0.35">
      <c r="A95" s="399" t="s">
        <v>11</v>
      </c>
      <c r="B95" s="395"/>
      <c r="C95" s="396"/>
      <c r="D95" s="257">
        <v>9900</v>
      </c>
      <c r="E95" s="156" t="s">
        <v>202</v>
      </c>
      <c r="F95" s="145" t="s">
        <v>203</v>
      </c>
      <c r="G95" s="145"/>
      <c r="H95" s="145"/>
      <c r="I95" s="145"/>
      <c r="J95" s="145"/>
      <c r="K95" s="145"/>
      <c r="L95" s="145"/>
      <c r="M95" s="145"/>
      <c r="N95" s="145"/>
      <c r="O95" s="145"/>
      <c r="P95" s="145"/>
      <c r="Q95" s="145"/>
      <c r="R95" s="145"/>
      <c r="S95" s="145"/>
      <c r="T95" s="145"/>
      <c r="U95" s="145"/>
      <c r="V95" s="145"/>
      <c r="W95" s="145"/>
      <c r="X95" s="145"/>
      <c r="Y95" s="145"/>
      <c r="Z95" s="145"/>
    </row>
    <row r="96" spans="1:26" ht="15.5" x14ac:dyDescent="0.35">
      <c r="A96" s="399" t="s">
        <v>204</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5" x14ac:dyDescent="0.35">
      <c r="A97" s="399" t="s">
        <v>205</v>
      </c>
      <c r="B97" s="395"/>
      <c r="C97" s="396"/>
      <c r="D97" s="162">
        <v>0.4</v>
      </c>
      <c r="E97" s="145" t="s">
        <v>8</v>
      </c>
      <c r="F97" s="145" t="s">
        <v>206</v>
      </c>
      <c r="G97" s="145"/>
      <c r="H97" s="145"/>
      <c r="I97" s="145"/>
      <c r="J97" s="145"/>
      <c r="K97" s="145"/>
      <c r="L97" s="145"/>
      <c r="M97" s="145"/>
      <c r="N97" s="145"/>
      <c r="O97" s="145"/>
      <c r="P97" s="145"/>
      <c r="Q97" s="145"/>
      <c r="R97" s="145"/>
      <c r="S97" s="145"/>
      <c r="T97" s="145"/>
      <c r="U97" s="145"/>
      <c r="V97" s="145"/>
      <c r="W97" s="145"/>
      <c r="X97" s="145"/>
      <c r="Y97" s="145"/>
      <c r="Z97" s="145"/>
    </row>
    <row r="98" spans="1:26" ht="15.5" x14ac:dyDescent="0.35">
      <c r="A98" s="400" t="s">
        <v>207</v>
      </c>
      <c r="B98" s="395"/>
      <c r="C98" s="396"/>
      <c r="D98" s="193">
        <f>D95/250*1.7</f>
        <v>67.320000000000007</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5" x14ac:dyDescent="0.3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5" x14ac:dyDescent="0.3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84" x14ac:dyDescent="0.35">
      <c r="A101" s="258" t="s">
        <v>208</v>
      </c>
      <c r="B101" s="259" t="s">
        <v>209</v>
      </c>
      <c r="C101" s="259" t="s">
        <v>210</v>
      </c>
      <c r="D101" s="259" t="s">
        <v>211</v>
      </c>
      <c r="E101" s="259" t="s">
        <v>212</v>
      </c>
      <c r="F101" s="259" t="s">
        <v>213</v>
      </c>
      <c r="G101" s="260" t="s">
        <v>214</v>
      </c>
      <c r="H101" s="259" t="s">
        <v>215</v>
      </c>
      <c r="I101" s="259" t="s">
        <v>216</v>
      </c>
      <c r="J101" s="259" t="s">
        <v>217</v>
      </c>
      <c r="K101" s="259" t="s">
        <v>218</v>
      </c>
      <c r="L101" s="259" t="s">
        <v>219</v>
      </c>
      <c r="M101" s="150"/>
      <c r="N101" s="145"/>
      <c r="O101" s="145"/>
      <c r="P101" s="145"/>
      <c r="Q101" s="145"/>
      <c r="R101" s="145"/>
      <c r="S101" s="145"/>
      <c r="T101" s="145"/>
      <c r="U101" s="145"/>
      <c r="V101" s="145"/>
      <c r="W101" s="145"/>
      <c r="X101" s="145"/>
      <c r="Y101" s="145"/>
      <c r="Z101" s="145"/>
    </row>
    <row r="102" spans="1:26" ht="15.5" x14ac:dyDescent="0.35">
      <c r="A102" s="261" t="s">
        <v>62</v>
      </c>
      <c r="B102" s="193">
        <v>31</v>
      </c>
      <c r="C102" s="262">
        <f>0.09*F16</f>
        <v>8460</v>
      </c>
      <c r="D102" s="263">
        <v>0.32</v>
      </c>
      <c r="E102" s="151">
        <f>($F$14*10)</f>
        <v>87.53</v>
      </c>
      <c r="F102" s="151">
        <f>$F$24*10</f>
        <v>20</v>
      </c>
      <c r="G102" s="264">
        <f t="shared" ref="G102:G113" si="15">D102*B102*$D$98*$D$96</f>
        <v>86.815872000000013</v>
      </c>
      <c r="H102" s="265">
        <f t="shared" ref="H102:H113" si="16">IF(C102*$D$97-G102&gt;0, G102,$D$97*C102)</f>
        <v>86.815872000000013</v>
      </c>
      <c r="I102" s="265">
        <f t="shared" ref="I102:I113" si="17">G102-H102</f>
        <v>0</v>
      </c>
      <c r="J102" s="265">
        <f t="shared" ref="J102:J113" si="18">C102-H102</f>
        <v>8373.1841280000008</v>
      </c>
      <c r="K102" s="209">
        <f t="shared" ref="K102:K113" si="19">G102*E102/1000</f>
        <v>7.5989932761600008</v>
      </c>
      <c r="L102" s="209">
        <f t="shared" ref="L102:L113" si="20">I102*F102/1000</f>
        <v>0</v>
      </c>
      <c r="M102" s="150"/>
      <c r="N102" s="145"/>
      <c r="O102" s="145"/>
      <c r="P102" s="145"/>
      <c r="Q102" s="145"/>
      <c r="R102" s="145"/>
      <c r="S102" s="145"/>
      <c r="T102" s="145"/>
      <c r="U102" s="145"/>
      <c r="V102" s="145"/>
      <c r="W102" s="145"/>
      <c r="X102" s="145"/>
      <c r="Y102" s="145"/>
      <c r="Z102" s="145"/>
    </row>
    <row r="103" spans="1:26" ht="15.5" x14ac:dyDescent="0.35">
      <c r="A103" s="261" t="s">
        <v>63</v>
      </c>
      <c r="B103" s="193">
        <v>28</v>
      </c>
      <c r="C103" s="262">
        <f>0.09*F16</f>
        <v>8460</v>
      </c>
      <c r="D103" s="263">
        <v>1.1000000000000001</v>
      </c>
      <c r="E103" s="151">
        <f t="shared" ref="E103:E113" si="21">($F$14*10)</f>
        <v>87.53</v>
      </c>
      <c r="F103" s="151">
        <f t="shared" ref="F103:F113" si="22">$F$24*10</f>
        <v>20</v>
      </c>
      <c r="G103" s="264">
        <f t="shared" si="15"/>
        <v>269.54928000000007</v>
      </c>
      <c r="H103" s="265">
        <f t="shared" si="16"/>
        <v>269.54928000000007</v>
      </c>
      <c r="I103" s="265">
        <f t="shared" si="17"/>
        <v>0</v>
      </c>
      <c r="J103" s="265">
        <f t="shared" si="18"/>
        <v>8190.4507199999998</v>
      </c>
      <c r="K103" s="209">
        <f t="shared" si="19"/>
        <v>23.593648478400006</v>
      </c>
      <c r="L103" s="209">
        <f t="shared" si="20"/>
        <v>0</v>
      </c>
      <c r="M103" s="150"/>
      <c r="N103" s="145"/>
      <c r="O103" s="145"/>
      <c r="P103" s="145"/>
      <c r="Q103" s="145"/>
      <c r="R103" s="145"/>
      <c r="S103" s="145"/>
      <c r="T103" s="145"/>
      <c r="U103" s="145"/>
      <c r="V103" s="145"/>
      <c r="W103" s="145"/>
      <c r="X103" s="145"/>
      <c r="Y103" s="145"/>
      <c r="Z103" s="145"/>
    </row>
    <row r="104" spans="1:26" ht="15.5" x14ac:dyDescent="0.35">
      <c r="A104" s="261" t="s">
        <v>64</v>
      </c>
      <c r="B104" s="193">
        <v>31</v>
      </c>
      <c r="C104" s="262">
        <f>0.084*F16</f>
        <v>7896.0000000000009</v>
      </c>
      <c r="D104" s="263">
        <v>2.44</v>
      </c>
      <c r="E104" s="151">
        <f t="shared" si="21"/>
        <v>87.53</v>
      </c>
      <c r="F104" s="151">
        <f t="shared" si="22"/>
        <v>20</v>
      </c>
      <c r="G104" s="264">
        <f t="shared" si="15"/>
        <v>661.97102400000006</v>
      </c>
      <c r="H104" s="265">
        <f t="shared" si="16"/>
        <v>661.97102400000006</v>
      </c>
      <c r="I104" s="265">
        <f t="shared" si="17"/>
        <v>0</v>
      </c>
      <c r="J104" s="265">
        <f t="shared" si="18"/>
        <v>7234.0289760000005</v>
      </c>
      <c r="K104" s="209">
        <f t="shared" si="19"/>
        <v>57.942323730720005</v>
      </c>
      <c r="L104" s="209">
        <f t="shared" si="20"/>
        <v>0</v>
      </c>
      <c r="M104" s="150"/>
      <c r="N104" s="145"/>
      <c r="O104" s="145"/>
      <c r="P104" s="145"/>
      <c r="Q104" s="145"/>
      <c r="R104" s="145"/>
      <c r="S104" s="145"/>
      <c r="T104" s="145"/>
      <c r="U104" s="145"/>
      <c r="V104" s="145"/>
      <c r="W104" s="145"/>
      <c r="X104" s="145"/>
      <c r="Y104" s="145"/>
      <c r="Z104" s="145"/>
    </row>
    <row r="105" spans="1:26" ht="15.5" x14ac:dyDescent="0.35">
      <c r="A105" s="261" t="s">
        <v>65</v>
      </c>
      <c r="B105" s="193">
        <v>30</v>
      </c>
      <c r="C105" s="262">
        <f>0.084*F16</f>
        <v>7896.0000000000009</v>
      </c>
      <c r="D105" s="263">
        <v>3.96</v>
      </c>
      <c r="E105" s="151">
        <f t="shared" si="21"/>
        <v>87.53</v>
      </c>
      <c r="F105" s="151">
        <f t="shared" si="22"/>
        <v>20</v>
      </c>
      <c r="G105" s="264">
        <f t="shared" si="15"/>
        <v>1039.6900800000001</v>
      </c>
      <c r="H105" s="265">
        <f t="shared" si="16"/>
        <v>1039.6900800000001</v>
      </c>
      <c r="I105" s="265">
        <f t="shared" si="17"/>
        <v>0</v>
      </c>
      <c r="J105" s="265">
        <f t="shared" si="18"/>
        <v>6856.3099200000006</v>
      </c>
      <c r="K105" s="209">
        <f t="shared" si="19"/>
        <v>91.004072702400009</v>
      </c>
      <c r="L105" s="209">
        <f t="shared" si="20"/>
        <v>0</v>
      </c>
      <c r="M105" s="150"/>
      <c r="N105" s="145"/>
      <c r="O105" s="145"/>
      <c r="P105" s="145"/>
      <c r="Q105" s="145"/>
      <c r="R105" s="145"/>
      <c r="S105" s="145"/>
      <c r="T105" s="145"/>
      <c r="U105" s="145"/>
      <c r="V105" s="145"/>
      <c r="W105" s="145"/>
      <c r="X105" s="145"/>
      <c r="Y105" s="145"/>
      <c r="Z105" s="145"/>
    </row>
    <row r="106" spans="1:26" ht="15.5" x14ac:dyDescent="0.35">
      <c r="A106" s="261" t="s">
        <v>66</v>
      </c>
      <c r="B106" s="193">
        <v>31</v>
      </c>
      <c r="C106" s="262">
        <f>0.079*F16</f>
        <v>7426</v>
      </c>
      <c r="D106" s="263">
        <v>5.41</v>
      </c>
      <c r="E106" s="151">
        <f t="shared" si="21"/>
        <v>87.53</v>
      </c>
      <c r="F106" s="151">
        <f t="shared" si="22"/>
        <v>20</v>
      </c>
      <c r="G106" s="264">
        <f t="shared" si="15"/>
        <v>1467.7308360000002</v>
      </c>
      <c r="H106" s="265">
        <f t="shared" si="16"/>
        <v>1467.7308360000002</v>
      </c>
      <c r="I106" s="265">
        <f t="shared" si="17"/>
        <v>0</v>
      </c>
      <c r="J106" s="265">
        <f t="shared" si="18"/>
        <v>5958.2691639999994</v>
      </c>
      <c r="K106" s="209">
        <f t="shared" si="19"/>
        <v>128.47048007508002</v>
      </c>
      <c r="L106" s="209">
        <f t="shared" si="20"/>
        <v>0</v>
      </c>
      <c r="M106" s="150"/>
      <c r="N106" s="145"/>
      <c r="O106" s="145"/>
      <c r="P106" s="145"/>
      <c r="Q106" s="145"/>
      <c r="R106" s="145"/>
      <c r="S106" s="145"/>
      <c r="T106" s="145"/>
      <c r="U106" s="145"/>
      <c r="V106" s="145"/>
      <c r="W106" s="145"/>
      <c r="X106" s="145"/>
      <c r="Y106" s="145"/>
      <c r="Z106" s="145"/>
    </row>
    <row r="107" spans="1:26" ht="15.5" x14ac:dyDescent="0.35">
      <c r="A107" s="261" t="s">
        <v>67</v>
      </c>
      <c r="B107" s="193">
        <v>30</v>
      </c>
      <c r="C107" s="262">
        <f>0.07*F16</f>
        <v>6580.0000000000009</v>
      </c>
      <c r="D107" s="263">
        <v>5.63</v>
      </c>
      <c r="E107" s="151">
        <f t="shared" si="21"/>
        <v>87.53</v>
      </c>
      <c r="F107" s="151">
        <f t="shared" si="22"/>
        <v>20</v>
      </c>
      <c r="G107" s="264">
        <f t="shared" si="15"/>
        <v>1478.1452400000003</v>
      </c>
      <c r="H107" s="265">
        <f t="shared" si="16"/>
        <v>1478.1452400000003</v>
      </c>
      <c r="I107" s="265">
        <f t="shared" si="17"/>
        <v>0</v>
      </c>
      <c r="J107" s="265">
        <f t="shared" si="18"/>
        <v>5101.8547600000002</v>
      </c>
      <c r="K107" s="209">
        <f t="shared" si="19"/>
        <v>129.38205285720002</v>
      </c>
      <c r="L107" s="209">
        <f t="shared" si="20"/>
        <v>0</v>
      </c>
      <c r="M107" s="150"/>
      <c r="N107" s="145"/>
      <c r="O107" s="145"/>
      <c r="P107" s="145"/>
      <c r="Q107" s="145"/>
      <c r="R107" s="145"/>
      <c r="S107" s="145"/>
      <c r="T107" s="145"/>
      <c r="U107" s="145"/>
      <c r="V107" s="145"/>
      <c r="W107" s="145"/>
      <c r="X107" s="145"/>
      <c r="Y107" s="145"/>
      <c r="Z107" s="145"/>
    </row>
    <row r="108" spans="1:26" ht="15.5" x14ac:dyDescent="0.35">
      <c r="A108" s="261" t="s">
        <v>68</v>
      </c>
      <c r="B108" s="193">
        <v>31</v>
      </c>
      <c r="C108" s="262">
        <f>0.07*F16</f>
        <v>6580.0000000000009</v>
      </c>
      <c r="D108" s="263">
        <v>5.6</v>
      </c>
      <c r="E108" s="151">
        <f t="shared" si="21"/>
        <v>87.53</v>
      </c>
      <c r="F108" s="151">
        <f t="shared" si="22"/>
        <v>20</v>
      </c>
      <c r="G108" s="264">
        <f t="shared" si="15"/>
        <v>1519.2777600000002</v>
      </c>
      <c r="H108" s="265">
        <f t="shared" si="16"/>
        <v>1519.2777600000002</v>
      </c>
      <c r="I108" s="265">
        <f t="shared" si="17"/>
        <v>0</v>
      </c>
      <c r="J108" s="265">
        <f t="shared" si="18"/>
        <v>5060.722240000001</v>
      </c>
      <c r="K108" s="209">
        <f t="shared" si="19"/>
        <v>132.9823823328</v>
      </c>
      <c r="L108" s="209">
        <f t="shared" si="20"/>
        <v>0</v>
      </c>
      <c r="M108" s="150"/>
      <c r="N108" s="145"/>
      <c r="O108" s="145"/>
      <c r="P108" s="145"/>
      <c r="Q108" s="145"/>
      <c r="R108" s="145"/>
      <c r="S108" s="145"/>
      <c r="T108" s="145"/>
      <c r="U108" s="145"/>
      <c r="V108" s="145"/>
      <c r="W108" s="145"/>
      <c r="X108" s="145"/>
      <c r="Y108" s="145"/>
      <c r="Z108" s="145"/>
    </row>
    <row r="109" spans="1:26" ht="15.5" x14ac:dyDescent="0.35">
      <c r="A109" s="261" t="s">
        <v>69</v>
      </c>
      <c r="B109" s="193">
        <v>31</v>
      </c>
      <c r="C109" s="262">
        <f>0.079*F16</f>
        <v>7426</v>
      </c>
      <c r="D109" s="263">
        <v>4.09</v>
      </c>
      <c r="E109" s="151">
        <f t="shared" si="21"/>
        <v>87.53</v>
      </c>
      <c r="F109" s="151">
        <f t="shared" si="22"/>
        <v>20</v>
      </c>
      <c r="G109" s="264">
        <f t="shared" si="15"/>
        <v>1109.615364</v>
      </c>
      <c r="H109" s="265">
        <f t="shared" si="16"/>
        <v>1109.615364</v>
      </c>
      <c r="I109" s="265">
        <f t="shared" si="17"/>
        <v>0</v>
      </c>
      <c r="J109" s="265">
        <f t="shared" si="18"/>
        <v>6316.3846359999998</v>
      </c>
      <c r="K109" s="209">
        <f t="shared" si="19"/>
        <v>97.124632810919991</v>
      </c>
      <c r="L109" s="209">
        <f t="shared" si="20"/>
        <v>0</v>
      </c>
      <c r="M109" s="150"/>
      <c r="N109" s="145"/>
      <c r="O109" s="145"/>
      <c r="P109" s="145"/>
      <c r="Q109" s="145"/>
      <c r="R109" s="145"/>
      <c r="S109" s="145"/>
      <c r="T109" s="145"/>
      <c r="U109" s="145"/>
      <c r="V109" s="145"/>
      <c r="W109" s="145"/>
      <c r="X109" s="145"/>
      <c r="Y109" s="145"/>
      <c r="Z109" s="145"/>
    </row>
    <row r="110" spans="1:26" ht="15.5" x14ac:dyDescent="0.35">
      <c r="A110" s="261" t="s">
        <v>70</v>
      </c>
      <c r="B110" s="193">
        <v>30</v>
      </c>
      <c r="C110" s="262">
        <f>0.084*F16</f>
        <v>7896.0000000000009</v>
      </c>
      <c r="D110" s="263">
        <v>2.54</v>
      </c>
      <c r="E110" s="151">
        <f t="shared" si="21"/>
        <v>87.53</v>
      </c>
      <c r="F110" s="151">
        <f t="shared" si="22"/>
        <v>20</v>
      </c>
      <c r="G110" s="264">
        <f t="shared" si="15"/>
        <v>666.87192000000005</v>
      </c>
      <c r="H110" s="265">
        <f t="shared" si="16"/>
        <v>666.87192000000005</v>
      </c>
      <c r="I110" s="265">
        <f t="shared" si="17"/>
        <v>0</v>
      </c>
      <c r="J110" s="265">
        <f t="shared" si="18"/>
        <v>7229.1280800000004</v>
      </c>
      <c r="K110" s="209">
        <f t="shared" si="19"/>
        <v>58.371299157600006</v>
      </c>
      <c r="L110" s="209">
        <f t="shared" si="20"/>
        <v>0</v>
      </c>
      <c r="M110" s="150"/>
      <c r="N110" s="145"/>
      <c r="O110" s="145"/>
      <c r="P110" s="145"/>
      <c r="Q110" s="145"/>
      <c r="R110" s="145"/>
      <c r="S110" s="145"/>
      <c r="T110" s="145"/>
      <c r="U110" s="145"/>
      <c r="V110" s="145"/>
      <c r="W110" s="145"/>
      <c r="X110" s="145"/>
      <c r="Y110" s="145"/>
      <c r="Z110" s="145"/>
    </row>
    <row r="111" spans="1:26" ht="15.5" x14ac:dyDescent="0.35">
      <c r="A111" s="261" t="s">
        <v>71</v>
      </c>
      <c r="B111" s="193">
        <v>31</v>
      </c>
      <c r="C111" s="262">
        <f>0.09*F16</f>
        <v>8460</v>
      </c>
      <c r="D111" s="263">
        <v>1.18</v>
      </c>
      <c r="E111" s="151">
        <f t="shared" si="21"/>
        <v>87.53</v>
      </c>
      <c r="F111" s="151">
        <f t="shared" si="22"/>
        <v>20</v>
      </c>
      <c r="G111" s="264">
        <f t="shared" si="15"/>
        <v>320.13352800000007</v>
      </c>
      <c r="H111" s="265">
        <f t="shared" si="16"/>
        <v>320.13352800000007</v>
      </c>
      <c r="I111" s="265">
        <f t="shared" si="17"/>
        <v>0</v>
      </c>
      <c r="J111" s="265">
        <f t="shared" si="18"/>
        <v>8139.8664719999997</v>
      </c>
      <c r="K111" s="209">
        <f t="shared" si="19"/>
        <v>28.02128770584001</v>
      </c>
      <c r="L111" s="209">
        <f t="shared" si="20"/>
        <v>0</v>
      </c>
      <c r="M111" s="150"/>
      <c r="N111" s="145"/>
      <c r="O111" s="145"/>
      <c r="P111" s="145"/>
      <c r="Q111" s="145"/>
      <c r="R111" s="145"/>
      <c r="S111" s="145"/>
      <c r="T111" s="145"/>
      <c r="U111" s="145"/>
      <c r="V111" s="145"/>
      <c r="W111" s="145"/>
      <c r="X111" s="145"/>
      <c r="Y111" s="145"/>
      <c r="Z111" s="145"/>
    </row>
    <row r="112" spans="1:26" ht="15.5" x14ac:dyDescent="0.35">
      <c r="A112" s="261" t="s">
        <v>72</v>
      </c>
      <c r="B112" s="193">
        <v>30</v>
      </c>
      <c r="C112" s="262">
        <f>0.09*F16</f>
        <v>8460</v>
      </c>
      <c r="D112" s="263">
        <v>0.5</v>
      </c>
      <c r="E112" s="151">
        <f t="shared" si="21"/>
        <v>87.53</v>
      </c>
      <c r="F112" s="151">
        <f t="shared" si="22"/>
        <v>20</v>
      </c>
      <c r="G112" s="264">
        <f t="shared" si="15"/>
        <v>131.274</v>
      </c>
      <c r="H112" s="265">
        <f t="shared" si="16"/>
        <v>131.274</v>
      </c>
      <c r="I112" s="265">
        <f t="shared" si="17"/>
        <v>0</v>
      </c>
      <c r="J112" s="265">
        <f t="shared" si="18"/>
        <v>8328.7260000000006</v>
      </c>
      <c r="K112" s="209">
        <f t="shared" si="19"/>
        <v>11.490413220000001</v>
      </c>
      <c r="L112" s="209">
        <f t="shared" si="20"/>
        <v>0</v>
      </c>
      <c r="M112" s="150"/>
      <c r="N112" s="145"/>
      <c r="O112" s="145"/>
      <c r="P112" s="145"/>
      <c r="Q112" s="145"/>
      <c r="R112" s="145"/>
      <c r="S112" s="145"/>
      <c r="T112" s="145"/>
      <c r="U112" s="145"/>
      <c r="V112" s="145"/>
      <c r="W112" s="145"/>
      <c r="X112" s="145"/>
      <c r="Y112" s="145"/>
      <c r="Z112" s="145"/>
    </row>
    <row r="113" spans="1:26" ht="15.5" x14ac:dyDescent="0.35">
      <c r="A113" s="261" t="s">
        <v>73</v>
      </c>
      <c r="B113" s="193">
        <v>31</v>
      </c>
      <c r="C113" s="262">
        <f>0.09*F16</f>
        <v>8460</v>
      </c>
      <c r="D113" s="263">
        <v>0.2</v>
      </c>
      <c r="E113" s="151">
        <f t="shared" si="21"/>
        <v>87.53</v>
      </c>
      <c r="F113" s="151">
        <f t="shared" si="22"/>
        <v>20</v>
      </c>
      <c r="G113" s="264">
        <f t="shared" si="15"/>
        <v>54.259920000000008</v>
      </c>
      <c r="H113" s="265">
        <f t="shared" si="16"/>
        <v>54.259920000000008</v>
      </c>
      <c r="I113" s="265">
        <f t="shared" si="17"/>
        <v>0</v>
      </c>
      <c r="J113" s="265">
        <f t="shared" si="18"/>
        <v>8405.7400799999996</v>
      </c>
      <c r="K113" s="209">
        <f t="shared" si="19"/>
        <v>4.7493707976000001</v>
      </c>
      <c r="L113" s="209">
        <f t="shared" si="20"/>
        <v>0</v>
      </c>
      <c r="M113" s="150"/>
      <c r="N113" s="145"/>
      <c r="O113" s="145"/>
      <c r="P113" s="145"/>
      <c r="Q113" s="145"/>
      <c r="R113" s="145"/>
      <c r="S113" s="145"/>
      <c r="T113" s="145"/>
      <c r="U113" s="145"/>
      <c r="V113" s="145"/>
      <c r="W113" s="145"/>
      <c r="X113" s="145"/>
      <c r="Y113" s="145"/>
      <c r="Z113" s="145"/>
    </row>
    <row r="114" spans="1:26" ht="15.5" x14ac:dyDescent="0.35">
      <c r="A114" s="266" t="s">
        <v>220</v>
      </c>
      <c r="B114" s="265">
        <f t="shared" ref="B114:C114" si="23">SUM(B102:B113)</f>
        <v>365</v>
      </c>
      <c r="C114" s="258">
        <f t="shared" si="23"/>
        <v>94000</v>
      </c>
      <c r="D114" s="193"/>
      <c r="E114" s="145"/>
      <c r="F114" s="145"/>
      <c r="G114" s="267">
        <f t="shared" ref="G114:L114" si="24">SUM(G102:G113)</f>
        <v>8805.3348240000014</v>
      </c>
      <c r="H114" s="268">
        <f t="shared" si="24"/>
        <v>8805.3348240000014</v>
      </c>
      <c r="I114" s="269">
        <f t="shared" si="24"/>
        <v>0</v>
      </c>
      <c r="J114" s="269">
        <f t="shared" si="24"/>
        <v>85194.66517600001</v>
      </c>
      <c r="K114" s="270">
        <f t="shared" si="24"/>
        <v>770.73095714472015</v>
      </c>
      <c r="L114" s="270">
        <f t="shared" si="24"/>
        <v>0</v>
      </c>
      <c r="M114" s="150"/>
      <c r="N114" s="145"/>
      <c r="O114" s="145"/>
      <c r="P114" s="145"/>
      <c r="Q114" s="145"/>
      <c r="R114" s="145"/>
      <c r="S114" s="145"/>
      <c r="T114" s="145"/>
      <c r="U114" s="145"/>
      <c r="V114" s="145"/>
      <c r="W114" s="145"/>
      <c r="X114" s="145"/>
      <c r="Y114" s="145"/>
      <c r="Z114" s="145"/>
    </row>
    <row r="115" spans="1:26" ht="15.5" x14ac:dyDescent="0.3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5" x14ac:dyDescent="0.35">
      <c r="A116" s="394" t="s">
        <v>221</v>
      </c>
      <c r="B116" s="395"/>
      <c r="C116" s="396"/>
      <c r="D116" s="276">
        <f>G114</f>
        <v>8805.3348240000014</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5" x14ac:dyDescent="0.35">
      <c r="A117" s="394" t="s">
        <v>222</v>
      </c>
      <c r="B117" s="395"/>
      <c r="C117" s="396"/>
      <c r="D117" s="277">
        <f>I114/G114</f>
        <v>0</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5" x14ac:dyDescent="0.3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5" x14ac:dyDescent="0.3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5" x14ac:dyDescent="0.3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5" x14ac:dyDescent="0.35">
      <c r="A121" s="158" t="s">
        <v>223</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5" x14ac:dyDescent="0.35">
      <c r="A122" s="158" t="s">
        <v>224</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5" x14ac:dyDescent="0.3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5" x14ac:dyDescent="0.3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5" x14ac:dyDescent="0.3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5" x14ac:dyDescent="0.3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5" x14ac:dyDescent="0.3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5" x14ac:dyDescent="0.3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5" x14ac:dyDescent="0.3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5" x14ac:dyDescent="0.3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5" x14ac:dyDescent="0.3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5" x14ac:dyDescent="0.3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5" x14ac:dyDescent="0.3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5" x14ac:dyDescent="0.3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5" x14ac:dyDescent="0.3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5" x14ac:dyDescent="0.3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5" x14ac:dyDescent="0.3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5" x14ac:dyDescent="0.3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5" x14ac:dyDescent="0.3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5" x14ac:dyDescent="0.3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5" x14ac:dyDescent="0.3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5" x14ac:dyDescent="0.3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5" x14ac:dyDescent="0.3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5" x14ac:dyDescent="0.3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5" x14ac:dyDescent="0.3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5" x14ac:dyDescent="0.3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5" x14ac:dyDescent="0.3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5" x14ac:dyDescent="0.3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5" x14ac:dyDescent="0.3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5" x14ac:dyDescent="0.3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5" x14ac:dyDescent="0.3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5" x14ac:dyDescent="0.3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5" x14ac:dyDescent="0.3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5" x14ac:dyDescent="0.3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5" x14ac:dyDescent="0.3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5" x14ac:dyDescent="0.3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5" x14ac:dyDescent="0.3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5" x14ac:dyDescent="0.3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5" x14ac:dyDescent="0.3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5" x14ac:dyDescent="0.3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5" x14ac:dyDescent="0.3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5" x14ac:dyDescent="0.3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5" x14ac:dyDescent="0.3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5" x14ac:dyDescent="0.3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5" x14ac:dyDescent="0.3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5" x14ac:dyDescent="0.3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5" x14ac:dyDescent="0.3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5" x14ac:dyDescent="0.3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5" x14ac:dyDescent="0.3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5" x14ac:dyDescent="0.3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5" x14ac:dyDescent="0.3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5" x14ac:dyDescent="0.3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5" x14ac:dyDescent="0.3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5" x14ac:dyDescent="0.3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5" x14ac:dyDescent="0.3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5" x14ac:dyDescent="0.3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5" x14ac:dyDescent="0.3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5" x14ac:dyDescent="0.3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5" x14ac:dyDescent="0.3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5" x14ac:dyDescent="0.3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5" x14ac:dyDescent="0.3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5" x14ac:dyDescent="0.3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5" x14ac:dyDescent="0.3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5" x14ac:dyDescent="0.3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5" x14ac:dyDescent="0.3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5" x14ac:dyDescent="0.3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5" x14ac:dyDescent="0.3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5" x14ac:dyDescent="0.3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5" x14ac:dyDescent="0.3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5" x14ac:dyDescent="0.3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5" x14ac:dyDescent="0.3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5" x14ac:dyDescent="0.3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5" x14ac:dyDescent="0.3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5" x14ac:dyDescent="0.3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5" x14ac:dyDescent="0.3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5" x14ac:dyDescent="0.3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5" x14ac:dyDescent="0.3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5" x14ac:dyDescent="0.3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5" x14ac:dyDescent="0.3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5" x14ac:dyDescent="0.3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5" x14ac:dyDescent="0.3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5" x14ac:dyDescent="0.3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5" x14ac:dyDescent="0.3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5" x14ac:dyDescent="0.3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5" x14ac:dyDescent="0.3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5" x14ac:dyDescent="0.3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5" x14ac:dyDescent="0.3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5" x14ac:dyDescent="0.3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5" x14ac:dyDescent="0.3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5" x14ac:dyDescent="0.3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5" x14ac:dyDescent="0.3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5" x14ac:dyDescent="0.3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5" x14ac:dyDescent="0.3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5" x14ac:dyDescent="0.3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5" x14ac:dyDescent="0.3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5" x14ac:dyDescent="0.3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5" x14ac:dyDescent="0.3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5" x14ac:dyDescent="0.3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5" x14ac:dyDescent="0.3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5" x14ac:dyDescent="0.3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5" x14ac:dyDescent="0.3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5" x14ac:dyDescent="0.3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5" x14ac:dyDescent="0.3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5" x14ac:dyDescent="0.3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5" x14ac:dyDescent="0.3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5" x14ac:dyDescent="0.3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5" x14ac:dyDescent="0.3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5" x14ac:dyDescent="0.3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5" x14ac:dyDescent="0.3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5" x14ac:dyDescent="0.3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5" x14ac:dyDescent="0.3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5" x14ac:dyDescent="0.3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5" x14ac:dyDescent="0.3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5" x14ac:dyDescent="0.3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5" x14ac:dyDescent="0.3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5" x14ac:dyDescent="0.3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5" x14ac:dyDescent="0.3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5" x14ac:dyDescent="0.3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5" x14ac:dyDescent="0.3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5" x14ac:dyDescent="0.3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5" x14ac:dyDescent="0.3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5" x14ac:dyDescent="0.3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5" x14ac:dyDescent="0.3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5" x14ac:dyDescent="0.3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5" x14ac:dyDescent="0.3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5" x14ac:dyDescent="0.3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5" x14ac:dyDescent="0.3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5" x14ac:dyDescent="0.3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5" x14ac:dyDescent="0.3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5" x14ac:dyDescent="0.3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5" x14ac:dyDescent="0.3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5" x14ac:dyDescent="0.3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5" x14ac:dyDescent="0.3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5" x14ac:dyDescent="0.3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5" x14ac:dyDescent="0.3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5" x14ac:dyDescent="0.3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5" x14ac:dyDescent="0.3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5" x14ac:dyDescent="0.3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5" x14ac:dyDescent="0.3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5" x14ac:dyDescent="0.3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5" x14ac:dyDescent="0.3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5" x14ac:dyDescent="0.3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5" x14ac:dyDescent="0.3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5" x14ac:dyDescent="0.3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5" x14ac:dyDescent="0.3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5" x14ac:dyDescent="0.3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5" x14ac:dyDescent="0.3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5" x14ac:dyDescent="0.3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5" x14ac:dyDescent="0.3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5" x14ac:dyDescent="0.3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5" x14ac:dyDescent="0.3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5" x14ac:dyDescent="0.3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5" x14ac:dyDescent="0.3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5" x14ac:dyDescent="0.3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5" x14ac:dyDescent="0.3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5" x14ac:dyDescent="0.3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5" x14ac:dyDescent="0.3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5" x14ac:dyDescent="0.3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5" x14ac:dyDescent="0.3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5" x14ac:dyDescent="0.3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5" x14ac:dyDescent="0.3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5" x14ac:dyDescent="0.3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5" x14ac:dyDescent="0.3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5" x14ac:dyDescent="0.3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5" x14ac:dyDescent="0.3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5" x14ac:dyDescent="0.3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5" x14ac:dyDescent="0.3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5" x14ac:dyDescent="0.3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5" x14ac:dyDescent="0.3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5" x14ac:dyDescent="0.3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5" x14ac:dyDescent="0.3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5" x14ac:dyDescent="0.3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5" x14ac:dyDescent="0.3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5" x14ac:dyDescent="0.3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5" x14ac:dyDescent="0.3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5" x14ac:dyDescent="0.3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5" x14ac:dyDescent="0.3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5" x14ac:dyDescent="0.3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5" x14ac:dyDescent="0.3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5" x14ac:dyDescent="0.3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5" x14ac:dyDescent="0.3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5" x14ac:dyDescent="0.3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5" x14ac:dyDescent="0.3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5" x14ac:dyDescent="0.3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5" x14ac:dyDescent="0.3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5" x14ac:dyDescent="0.3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5" x14ac:dyDescent="0.3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5" x14ac:dyDescent="0.3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5" x14ac:dyDescent="0.3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5" x14ac:dyDescent="0.3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5" x14ac:dyDescent="0.3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5" x14ac:dyDescent="0.3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5" x14ac:dyDescent="0.3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5" x14ac:dyDescent="0.3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5" x14ac:dyDescent="0.3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5" x14ac:dyDescent="0.3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5" x14ac:dyDescent="0.3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5" x14ac:dyDescent="0.3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5" x14ac:dyDescent="0.3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5" x14ac:dyDescent="0.3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5" x14ac:dyDescent="0.3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5" x14ac:dyDescent="0.3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5" x14ac:dyDescent="0.3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5" x14ac:dyDescent="0.3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5" x14ac:dyDescent="0.3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5" x14ac:dyDescent="0.3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5" x14ac:dyDescent="0.3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5" x14ac:dyDescent="0.3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5" x14ac:dyDescent="0.3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5" x14ac:dyDescent="0.3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5" x14ac:dyDescent="0.3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5" x14ac:dyDescent="0.3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5" x14ac:dyDescent="0.3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5" x14ac:dyDescent="0.3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5" x14ac:dyDescent="0.3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5" x14ac:dyDescent="0.3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5" x14ac:dyDescent="0.3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5" x14ac:dyDescent="0.3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5" x14ac:dyDescent="0.3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5" x14ac:dyDescent="0.3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5" x14ac:dyDescent="0.3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5" x14ac:dyDescent="0.3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5" x14ac:dyDescent="0.3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5" x14ac:dyDescent="0.3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5" x14ac:dyDescent="0.3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5" x14ac:dyDescent="0.3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5" x14ac:dyDescent="0.3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5" x14ac:dyDescent="0.3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5" x14ac:dyDescent="0.3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5" x14ac:dyDescent="0.3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5" x14ac:dyDescent="0.3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5" x14ac:dyDescent="0.3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5" x14ac:dyDescent="0.3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5" x14ac:dyDescent="0.3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5" x14ac:dyDescent="0.3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5" x14ac:dyDescent="0.3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5" x14ac:dyDescent="0.3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5" x14ac:dyDescent="0.3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5" x14ac:dyDescent="0.3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5" x14ac:dyDescent="0.3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5" x14ac:dyDescent="0.3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5" x14ac:dyDescent="0.3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5" x14ac:dyDescent="0.3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5" x14ac:dyDescent="0.3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5" x14ac:dyDescent="0.3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5" x14ac:dyDescent="0.3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5" x14ac:dyDescent="0.3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5" x14ac:dyDescent="0.3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5" x14ac:dyDescent="0.3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5" x14ac:dyDescent="0.3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5" x14ac:dyDescent="0.3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5" x14ac:dyDescent="0.3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5" x14ac:dyDescent="0.3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5" x14ac:dyDescent="0.3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5" x14ac:dyDescent="0.3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5" x14ac:dyDescent="0.3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5" x14ac:dyDescent="0.3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5" x14ac:dyDescent="0.3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5" x14ac:dyDescent="0.3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5" x14ac:dyDescent="0.3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5" x14ac:dyDescent="0.3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5" x14ac:dyDescent="0.3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5" x14ac:dyDescent="0.3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5" x14ac:dyDescent="0.3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5" x14ac:dyDescent="0.3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5" x14ac:dyDescent="0.3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5" x14ac:dyDescent="0.3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5" x14ac:dyDescent="0.3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5" x14ac:dyDescent="0.3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5" x14ac:dyDescent="0.3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5" x14ac:dyDescent="0.3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5" x14ac:dyDescent="0.3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5" x14ac:dyDescent="0.3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5" x14ac:dyDescent="0.3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5" x14ac:dyDescent="0.3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5" x14ac:dyDescent="0.3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5" x14ac:dyDescent="0.3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5" x14ac:dyDescent="0.3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5" x14ac:dyDescent="0.3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5" x14ac:dyDescent="0.3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5" x14ac:dyDescent="0.3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5" x14ac:dyDescent="0.3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5" x14ac:dyDescent="0.3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5" x14ac:dyDescent="0.3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5" x14ac:dyDescent="0.3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5" x14ac:dyDescent="0.3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5" x14ac:dyDescent="0.3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5" x14ac:dyDescent="0.3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5" x14ac:dyDescent="0.3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5" x14ac:dyDescent="0.3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5" x14ac:dyDescent="0.3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5" x14ac:dyDescent="0.3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5" x14ac:dyDescent="0.3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5" x14ac:dyDescent="0.3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5" x14ac:dyDescent="0.3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5" x14ac:dyDescent="0.3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5" x14ac:dyDescent="0.3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5" x14ac:dyDescent="0.3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5" x14ac:dyDescent="0.3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5" x14ac:dyDescent="0.3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5" x14ac:dyDescent="0.3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5" x14ac:dyDescent="0.3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5" x14ac:dyDescent="0.3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5" x14ac:dyDescent="0.3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5" x14ac:dyDescent="0.3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5" x14ac:dyDescent="0.3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5" x14ac:dyDescent="0.3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5" x14ac:dyDescent="0.3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5" x14ac:dyDescent="0.3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5" x14ac:dyDescent="0.3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5" x14ac:dyDescent="0.3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5" x14ac:dyDescent="0.3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5" x14ac:dyDescent="0.3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5" x14ac:dyDescent="0.3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5" x14ac:dyDescent="0.3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5" x14ac:dyDescent="0.3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5" x14ac:dyDescent="0.3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5" x14ac:dyDescent="0.3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5" x14ac:dyDescent="0.3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5" x14ac:dyDescent="0.3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5" x14ac:dyDescent="0.3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5" x14ac:dyDescent="0.3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5" x14ac:dyDescent="0.3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5" x14ac:dyDescent="0.3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5" x14ac:dyDescent="0.3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5" x14ac:dyDescent="0.3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5" x14ac:dyDescent="0.3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5" x14ac:dyDescent="0.3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5" x14ac:dyDescent="0.3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5" x14ac:dyDescent="0.3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5" x14ac:dyDescent="0.3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5" x14ac:dyDescent="0.3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5" x14ac:dyDescent="0.3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5" x14ac:dyDescent="0.3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5" x14ac:dyDescent="0.3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5" x14ac:dyDescent="0.3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5" x14ac:dyDescent="0.3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5" x14ac:dyDescent="0.3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5" x14ac:dyDescent="0.3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5" x14ac:dyDescent="0.3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5" x14ac:dyDescent="0.3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5" x14ac:dyDescent="0.3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5" x14ac:dyDescent="0.3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5" x14ac:dyDescent="0.3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5" x14ac:dyDescent="0.3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5" x14ac:dyDescent="0.3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5" x14ac:dyDescent="0.3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5" x14ac:dyDescent="0.3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5" x14ac:dyDescent="0.3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5" x14ac:dyDescent="0.3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5" x14ac:dyDescent="0.3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5" x14ac:dyDescent="0.3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5" x14ac:dyDescent="0.3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5" x14ac:dyDescent="0.3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5" x14ac:dyDescent="0.3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5" x14ac:dyDescent="0.3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5" x14ac:dyDescent="0.3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5" x14ac:dyDescent="0.3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5" x14ac:dyDescent="0.3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5" x14ac:dyDescent="0.3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5" x14ac:dyDescent="0.3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5" x14ac:dyDescent="0.3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5" x14ac:dyDescent="0.3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5" x14ac:dyDescent="0.3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5" x14ac:dyDescent="0.3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5" x14ac:dyDescent="0.3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5" x14ac:dyDescent="0.3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5" x14ac:dyDescent="0.3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5" x14ac:dyDescent="0.3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5" x14ac:dyDescent="0.3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5" x14ac:dyDescent="0.3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5" x14ac:dyDescent="0.3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5" x14ac:dyDescent="0.3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5" x14ac:dyDescent="0.3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5" x14ac:dyDescent="0.3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5" x14ac:dyDescent="0.3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5" x14ac:dyDescent="0.3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5" x14ac:dyDescent="0.3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5" x14ac:dyDescent="0.3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5" x14ac:dyDescent="0.3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5" x14ac:dyDescent="0.3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5" x14ac:dyDescent="0.3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5" x14ac:dyDescent="0.3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5" x14ac:dyDescent="0.3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5" x14ac:dyDescent="0.3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5" x14ac:dyDescent="0.3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5" x14ac:dyDescent="0.3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5" x14ac:dyDescent="0.3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5" x14ac:dyDescent="0.3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5" x14ac:dyDescent="0.3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5" x14ac:dyDescent="0.3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5" x14ac:dyDescent="0.3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5" x14ac:dyDescent="0.3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5" x14ac:dyDescent="0.3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5" x14ac:dyDescent="0.3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5" x14ac:dyDescent="0.3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5" x14ac:dyDescent="0.3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5" x14ac:dyDescent="0.3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5" x14ac:dyDescent="0.3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5" x14ac:dyDescent="0.3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5" x14ac:dyDescent="0.3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5" x14ac:dyDescent="0.3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5" x14ac:dyDescent="0.3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5" x14ac:dyDescent="0.3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5" x14ac:dyDescent="0.3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5" x14ac:dyDescent="0.3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5" x14ac:dyDescent="0.3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5" x14ac:dyDescent="0.3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5" x14ac:dyDescent="0.3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5" x14ac:dyDescent="0.3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5" x14ac:dyDescent="0.3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5" x14ac:dyDescent="0.3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5" x14ac:dyDescent="0.3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5" x14ac:dyDescent="0.3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5" x14ac:dyDescent="0.3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5" x14ac:dyDescent="0.3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5" x14ac:dyDescent="0.3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5" x14ac:dyDescent="0.3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5" x14ac:dyDescent="0.3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5" x14ac:dyDescent="0.3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5" x14ac:dyDescent="0.3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5" x14ac:dyDescent="0.3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5" x14ac:dyDescent="0.3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5" x14ac:dyDescent="0.3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5" x14ac:dyDescent="0.3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5" x14ac:dyDescent="0.3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5" x14ac:dyDescent="0.3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5" x14ac:dyDescent="0.3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5" x14ac:dyDescent="0.3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5" x14ac:dyDescent="0.3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5" x14ac:dyDescent="0.3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5" x14ac:dyDescent="0.3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5" x14ac:dyDescent="0.3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5" x14ac:dyDescent="0.3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5" x14ac:dyDescent="0.3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5" x14ac:dyDescent="0.3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5" x14ac:dyDescent="0.3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5" x14ac:dyDescent="0.3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5" x14ac:dyDescent="0.3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5" x14ac:dyDescent="0.3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5" x14ac:dyDescent="0.3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5" x14ac:dyDescent="0.3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5" x14ac:dyDescent="0.3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5" x14ac:dyDescent="0.3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5" x14ac:dyDescent="0.3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5" x14ac:dyDescent="0.3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5" x14ac:dyDescent="0.3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5" x14ac:dyDescent="0.3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5" x14ac:dyDescent="0.3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5" x14ac:dyDescent="0.3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5" x14ac:dyDescent="0.3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5" x14ac:dyDescent="0.3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5" x14ac:dyDescent="0.3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5" x14ac:dyDescent="0.3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5" x14ac:dyDescent="0.3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5" x14ac:dyDescent="0.3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5" x14ac:dyDescent="0.3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5" x14ac:dyDescent="0.3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5" x14ac:dyDescent="0.3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5" x14ac:dyDescent="0.3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5" x14ac:dyDescent="0.3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5" x14ac:dyDescent="0.3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5" x14ac:dyDescent="0.3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5" x14ac:dyDescent="0.3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5" x14ac:dyDescent="0.3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5" x14ac:dyDescent="0.3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5" x14ac:dyDescent="0.3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5" x14ac:dyDescent="0.3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5" x14ac:dyDescent="0.3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5" x14ac:dyDescent="0.3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5" x14ac:dyDescent="0.3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5" x14ac:dyDescent="0.3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5" x14ac:dyDescent="0.3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5" x14ac:dyDescent="0.3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5" x14ac:dyDescent="0.3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5" x14ac:dyDescent="0.3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5" x14ac:dyDescent="0.3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5" x14ac:dyDescent="0.3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5" x14ac:dyDescent="0.3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5" x14ac:dyDescent="0.3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5" x14ac:dyDescent="0.3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5" x14ac:dyDescent="0.3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5" x14ac:dyDescent="0.3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5" x14ac:dyDescent="0.3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5" x14ac:dyDescent="0.3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5" x14ac:dyDescent="0.3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5" x14ac:dyDescent="0.3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5" x14ac:dyDescent="0.3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5" x14ac:dyDescent="0.3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5" x14ac:dyDescent="0.3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5" x14ac:dyDescent="0.3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5" x14ac:dyDescent="0.3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5" x14ac:dyDescent="0.3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5" x14ac:dyDescent="0.3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5" x14ac:dyDescent="0.3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5" x14ac:dyDescent="0.3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5" x14ac:dyDescent="0.3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5" x14ac:dyDescent="0.3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5" x14ac:dyDescent="0.3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5" x14ac:dyDescent="0.3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5" x14ac:dyDescent="0.3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5" x14ac:dyDescent="0.3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5" x14ac:dyDescent="0.3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5" x14ac:dyDescent="0.3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5" x14ac:dyDescent="0.3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5" x14ac:dyDescent="0.3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5" x14ac:dyDescent="0.3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5" x14ac:dyDescent="0.3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5" x14ac:dyDescent="0.3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5" x14ac:dyDescent="0.3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5" x14ac:dyDescent="0.3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5" x14ac:dyDescent="0.3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5" x14ac:dyDescent="0.3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5" x14ac:dyDescent="0.3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5" x14ac:dyDescent="0.3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5" x14ac:dyDescent="0.3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5" x14ac:dyDescent="0.3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5" x14ac:dyDescent="0.3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5" x14ac:dyDescent="0.3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5" x14ac:dyDescent="0.3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5" x14ac:dyDescent="0.3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5" x14ac:dyDescent="0.3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5" x14ac:dyDescent="0.3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5" x14ac:dyDescent="0.3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5" x14ac:dyDescent="0.3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5" x14ac:dyDescent="0.3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5" x14ac:dyDescent="0.3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5" x14ac:dyDescent="0.3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5" x14ac:dyDescent="0.3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5" x14ac:dyDescent="0.3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5" x14ac:dyDescent="0.3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5" x14ac:dyDescent="0.3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5" x14ac:dyDescent="0.3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5" x14ac:dyDescent="0.3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5" x14ac:dyDescent="0.3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5" x14ac:dyDescent="0.3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5" x14ac:dyDescent="0.3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5" x14ac:dyDescent="0.3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5" x14ac:dyDescent="0.3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5" x14ac:dyDescent="0.3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5" x14ac:dyDescent="0.3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5" x14ac:dyDescent="0.3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5" x14ac:dyDescent="0.3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5" x14ac:dyDescent="0.3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5" x14ac:dyDescent="0.3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5" x14ac:dyDescent="0.3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5" x14ac:dyDescent="0.3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5" x14ac:dyDescent="0.3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5" x14ac:dyDescent="0.3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5" x14ac:dyDescent="0.3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5" x14ac:dyDescent="0.3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5" x14ac:dyDescent="0.3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5" x14ac:dyDescent="0.3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5" x14ac:dyDescent="0.3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5" x14ac:dyDescent="0.3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5" x14ac:dyDescent="0.3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5" x14ac:dyDescent="0.3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5" x14ac:dyDescent="0.3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5" x14ac:dyDescent="0.3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5" x14ac:dyDescent="0.3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5" x14ac:dyDescent="0.3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5" x14ac:dyDescent="0.3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5" x14ac:dyDescent="0.3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5" x14ac:dyDescent="0.3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5" x14ac:dyDescent="0.3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5" x14ac:dyDescent="0.3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5" x14ac:dyDescent="0.3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5" x14ac:dyDescent="0.3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5" x14ac:dyDescent="0.3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5" x14ac:dyDescent="0.3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5" x14ac:dyDescent="0.3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5" x14ac:dyDescent="0.3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5" x14ac:dyDescent="0.3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5" x14ac:dyDescent="0.3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5" x14ac:dyDescent="0.3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5" x14ac:dyDescent="0.3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5" x14ac:dyDescent="0.3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5" x14ac:dyDescent="0.3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5" x14ac:dyDescent="0.3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5" x14ac:dyDescent="0.3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5" x14ac:dyDescent="0.3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5" x14ac:dyDescent="0.3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5" x14ac:dyDescent="0.3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5" x14ac:dyDescent="0.3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5" x14ac:dyDescent="0.3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5" x14ac:dyDescent="0.3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5" x14ac:dyDescent="0.3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5" x14ac:dyDescent="0.3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5" x14ac:dyDescent="0.3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5" x14ac:dyDescent="0.3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5" x14ac:dyDescent="0.3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5" x14ac:dyDescent="0.3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5" x14ac:dyDescent="0.3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5" x14ac:dyDescent="0.3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5" x14ac:dyDescent="0.3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5" x14ac:dyDescent="0.3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5" x14ac:dyDescent="0.3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5" x14ac:dyDescent="0.3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5" x14ac:dyDescent="0.3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5" x14ac:dyDescent="0.3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5" x14ac:dyDescent="0.3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5" x14ac:dyDescent="0.3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5" x14ac:dyDescent="0.3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5" x14ac:dyDescent="0.3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5" x14ac:dyDescent="0.3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5" x14ac:dyDescent="0.3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5" x14ac:dyDescent="0.3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5" x14ac:dyDescent="0.3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5" x14ac:dyDescent="0.3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5" x14ac:dyDescent="0.3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5" x14ac:dyDescent="0.3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5" x14ac:dyDescent="0.3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5" x14ac:dyDescent="0.3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5" x14ac:dyDescent="0.3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5" x14ac:dyDescent="0.3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5" x14ac:dyDescent="0.3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5" x14ac:dyDescent="0.3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5" x14ac:dyDescent="0.3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5" x14ac:dyDescent="0.3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5" x14ac:dyDescent="0.3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5" x14ac:dyDescent="0.3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5" x14ac:dyDescent="0.3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5" x14ac:dyDescent="0.3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5" x14ac:dyDescent="0.3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5" x14ac:dyDescent="0.3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5" x14ac:dyDescent="0.3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5" x14ac:dyDescent="0.3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5" x14ac:dyDescent="0.3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5" x14ac:dyDescent="0.3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5" x14ac:dyDescent="0.3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5" x14ac:dyDescent="0.3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5" x14ac:dyDescent="0.3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5" x14ac:dyDescent="0.3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5" x14ac:dyDescent="0.3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5" x14ac:dyDescent="0.3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5" x14ac:dyDescent="0.3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5" x14ac:dyDescent="0.3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5" x14ac:dyDescent="0.3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5" x14ac:dyDescent="0.3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5" x14ac:dyDescent="0.3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5" x14ac:dyDescent="0.3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5" x14ac:dyDescent="0.3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5" x14ac:dyDescent="0.3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5" x14ac:dyDescent="0.3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5" x14ac:dyDescent="0.3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5" x14ac:dyDescent="0.3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5" x14ac:dyDescent="0.3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5" x14ac:dyDescent="0.3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5" x14ac:dyDescent="0.3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5" x14ac:dyDescent="0.3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5" x14ac:dyDescent="0.3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5" x14ac:dyDescent="0.3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5" x14ac:dyDescent="0.3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5" x14ac:dyDescent="0.3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5" x14ac:dyDescent="0.3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5" x14ac:dyDescent="0.3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5" x14ac:dyDescent="0.3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5" x14ac:dyDescent="0.3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5" x14ac:dyDescent="0.3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5" x14ac:dyDescent="0.3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5" x14ac:dyDescent="0.3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5" x14ac:dyDescent="0.3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5" x14ac:dyDescent="0.3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5" x14ac:dyDescent="0.3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5" x14ac:dyDescent="0.3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5" x14ac:dyDescent="0.3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5" x14ac:dyDescent="0.3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5" x14ac:dyDescent="0.3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5" x14ac:dyDescent="0.3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5" x14ac:dyDescent="0.3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5" x14ac:dyDescent="0.3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5" x14ac:dyDescent="0.3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5" x14ac:dyDescent="0.3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5" x14ac:dyDescent="0.3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5" x14ac:dyDescent="0.3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5" x14ac:dyDescent="0.3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5" x14ac:dyDescent="0.3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5" x14ac:dyDescent="0.3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5" x14ac:dyDescent="0.3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5" x14ac:dyDescent="0.3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5" x14ac:dyDescent="0.3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5" x14ac:dyDescent="0.3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5" x14ac:dyDescent="0.3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5" x14ac:dyDescent="0.3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5" x14ac:dyDescent="0.3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5" x14ac:dyDescent="0.3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5" x14ac:dyDescent="0.3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5" x14ac:dyDescent="0.3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5" x14ac:dyDescent="0.3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5" x14ac:dyDescent="0.3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5" x14ac:dyDescent="0.3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5" x14ac:dyDescent="0.3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5" x14ac:dyDescent="0.3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5" x14ac:dyDescent="0.3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5" x14ac:dyDescent="0.3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5" x14ac:dyDescent="0.3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5" x14ac:dyDescent="0.3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5" x14ac:dyDescent="0.3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5" x14ac:dyDescent="0.3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5" x14ac:dyDescent="0.3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5" x14ac:dyDescent="0.3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5" x14ac:dyDescent="0.3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5" x14ac:dyDescent="0.3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5" x14ac:dyDescent="0.3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5" x14ac:dyDescent="0.3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5" x14ac:dyDescent="0.3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5" x14ac:dyDescent="0.3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5" x14ac:dyDescent="0.3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5" x14ac:dyDescent="0.3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5" x14ac:dyDescent="0.3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5" x14ac:dyDescent="0.3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5" x14ac:dyDescent="0.3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5" x14ac:dyDescent="0.3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5" x14ac:dyDescent="0.3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5" x14ac:dyDescent="0.3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5" x14ac:dyDescent="0.3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5" x14ac:dyDescent="0.3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5" x14ac:dyDescent="0.3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5" x14ac:dyDescent="0.3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5" x14ac:dyDescent="0.3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5" x14ac:dyDescent="0.3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5" x14ac:dyDescent="0.3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5" x14ac:dyDescent="0.3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5" x14ac:dyDescent="0.3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5" x14ac:dyDescent="0.3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5" x14ac:dyDescent="0.3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5" x14ac:dyDescent="0.3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5" x14ac:dyDescent="0.3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5" x14ac:dyDescent="0.3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5" x14ac:dyDescent="0.3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5" x14ac:dyDescent="0.3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5" x14ac:dyDescent="0.3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5" x14ac:dyDescent="0.3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5" x14ac:dyDescent="0.3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5" x14ac:dyDescent="0.3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5" x14ac:dyDescent="0.3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5" x14ac:dyDescent="0.3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5" x14ac:dyDescent="0.3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5" x14ac:dyDescent="0.3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5" x14ac:dyDescent="0.3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5" x14ac:dyDescent="0.3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5" x14ac:dyDescent="0.3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5" x14ac:dyDescent="0.3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5" x14ac:dyDescent="0.3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5" x14ac:dyDescent="0.3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5" x14ac:dyDescent="0.3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5" x14ac:dyDescent="0.3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5" x14ac:dyDescent="0.3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5" x14ac:dyDescent="0.3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5" x14ac:dyDescent="0.3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5" x14ac:dyDescent="0.3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5" x14ac:dyDescent="0.3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5" x14ac:dyDescent="0.3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5" x14ac:dyDescent="0.3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5" x14ac:dyDescent="0.3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5" x14ac:dyDescent="0.3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5" x14ac:dyDescent="0.3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5" x14ac:dyDescent="0.3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5" x14ac:dyDescent="0.3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5" x14ac:dyDescent="0.3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5" x14ac:dyDescent="0.3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5" x14ac:dyDescent="0.3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5" x14ac:dyDescent="0.3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5" x14ac:dyDescent="0.3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5" x14ac:dyDescent="0.3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5" x14ac:dyDescent="0.3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5" x14ac:dyDescent="0.3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5" x14ac:dyDescent="0.3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5" x14ac:dyDescent="0.3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5" x14ac:dyDescent="0.3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5" x14ac:dyDescent="0.3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5" x14ac:dyDescent="0.3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5" x14ac:dyDescent="0.3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5" x14ac:dyDescent="0.3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5" x14ac:dyDescent="0.3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5" x14ac:dyDescent="0.3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5" x14ac:dyDescent="0.3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5" x14ac:dyDescent="0.3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5" x14ac:dyDescent="0.3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5" x14ac:dyDescent="0.3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5" x14ac:dyDescent="0.3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5" x14ac:dyDescent="0.3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5" x14ac:dyDescent="0.3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5" x14ac:dyDescent="0.3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5" x14ac:dyDescent="0.3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5" x14ac:dyDescent="0.3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5" x14ac:dyDescent="0.3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5" x14ac:dyDescent="0.3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5" x14ac:dyDescent="0.3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5" x14ac:dyDescent="0.3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5" x14ac:dyDescent="0.3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5" x14ac:dyDescent="0.3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5" x14ac:dyDescent="0.3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5" x14ac:dyDescent="0.3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5" x14ac:dyDescent="0.3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5" x14ac:dyDescent="0.3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5" x14ac:dyDescent="0.3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5" x14ac:dyDescent="0.3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5" x14ac:dyDescent="0.3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5" x14ac:dyDescent="0.3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5" x14ac:dyDescent="0.3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5" x14ac:dyDescent="0.3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5" x14ac:dyDescent="0.3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5" x14ac:dyDescent="0.3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5" x14ac:dyDescent="0.3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5" x14ac:dyDescent="0.3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5" x14ac:dyDescent="0.3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5" x14ac:dyDescent="0.3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5" x14ac:dyDescent="0.3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5" x14ac:dyDescent="0.3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5" x14ac:dyDescent="0.3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5" x14ac:dyDescent="0.3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5" x14ac:dyDescent="0.3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5" x14ac:dyDescent="0.3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5" x14ac:dyDescent="0.3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5" x14ac:dyDescent="0.3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5" x14ac:dyDescent="0.3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5" x14ac:dyDescent="0.3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5" x14ac:dyDescent="0.3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5" x14ac:dyDescent="0.3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5" x14ac:dyDescent="0.3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5" x14ac:dyDescent="0.3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5" x14ac:dyDescent="0.3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5" x14ac:dyDescent="0.3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5" x14ac:dyDescent="0.3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5" x14ac:dyDescent="0.3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5" x14ac:dyDescent="0.3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5" x14ac:dyDescent="0.3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5" x14ac:dyDescent="0.3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5" x14ac:dyDescent="0.3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5" x14ac:dyDescent="0.3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5" x14ac:dyDescent="0.3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5" x14ac:dyDescent="0.3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5" x14ac:dyDescent="0.3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5" x14ac:dyDescent="0.3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5" x14ac:dyDescent="0.3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5" x14ac:dyDescent="0.3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5" x14ac:dyDescent="0.3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5" x14ac:dyDescent="0.3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5" x14ac:dyDescent="0.3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5" x14ac:dyDescent="0.3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5" x14ac:dyDescent="0.3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5" x14ac:dyDescent="0.3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5" x14ac:dyDescent="0.3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5" x14ac:dyDescent="0.3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5" x14ac:dyDescent="0.3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5" x14ac:dyDescent="0.3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5" x14ac:dyDescent="0.3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5" x14ac:dyDescent="0.3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5" x14ac:dyDescent="0.3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5" x14ac:dyDescent="0.3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5" x14ac:dyDescent="0.3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5" x14ac:dyDescent="0.3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5" x14ac:dyDescent="0.3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5" x14ac:dyDescent="0.3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5" x14ac:dyDescent="0.3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5" x14ac:dyDescent="0.3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5" x14ac:dyDescent="0.3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5" x14ac:dyDescent="0.3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5" x14ac:dyDescent="0.3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5" x14ac:dyDescent="0.3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5" x14ac:dyDescent="0.3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5" x14ac:dyDescent="0.3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5" x14ac:dyDescent="0.3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5" x14ac:dyDescent="0.3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5" x14ac:dyDescent="0.3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5" x14ac:dyDescent="0.3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5" x14ac:dyDescent="0.3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5" x14ac:dyDescent="0.3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5" x14ac:dyDescent="0.3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5" x14ac:dyDescent="0.3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5" x14ac:dyDescent="0.3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5" x14ac:dyDescent="0.3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5" x14ac:dyDescent="0.3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5" x14ac:dyDescent="0.3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5" x14ac:dyDescent="0.3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5" x14ac:dyDescent="0.3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5" x14ac:dyDescent="0.3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5" x14ac:dyDescent="0.3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5" x14ac:dyDescent="0.3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5" x14ac:dyDescent="0.3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5" x14ac:dyDescent="0.3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5" x14ac:dyDescent="0.3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5" x14ac:dyDescent="0.3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5" x14ac:dyDescent="0.3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5" x14ac:dyDescent="0.3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5" x14ac:dyDescent="0.3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5" x14ac:dyDescent="0.3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5" x14ac:dyDescent="0.3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20:E20"/>
    <mergeCell ref="A4:H4"/>
    <mergeCell ref="A9:H9"/>
    <mergeCell ref="A10:E10"/>
    <mergeCell ref="A11:E11"/>
    <mergeCell ref="A12:E12"/>
    <mergeCell ref="A13:E13"/>
    <mergeCell ref="A14:E14"/>
    <mergeCell ref="A15:E15"/>
    <mergeCell ref="A16:E16"/>
    <mergeCell ref="A18:E18"/>
    <mergeCell ref="A19:E19"/>
    <mergeCell ref="A34:E34"/>
    <mergeCell ref="A21:E21"/>
    <mergeCell ref="A22:E22"/>
    <mergeCell ref="A23:E23"/>
    <mergeCell ref="A24:E24"/>
    <mergeCell ref="A27:E27"/>
    <mergeCell ref="A28:E28"/>
    <mergeCell ref="A29:E29"/>
    <mergeCell ref="A30:E30"/>
    <mergeCell ref="A31:E31"/>
    <mergeCell ref="A32:E32"/>
    <mergeCell ref="A33:E33"/>
    <mergeCell ref="A82:D82"/>
    <mergeCell ref="A35:E35"/>
    <mergeCell ref="A36:E36"/>
    <mergeCell ref="A37:E37"/>
    <mergeCell ref="A38:E38"/>
    <mergeCell ref="A42:B42"/>
    <mergeCell ref="C42:D42"/>
    <mergeCell ref="E42:K42"/>
    <mergeCell ref="L42:N42"/>
    <mergeCell ref="P42:R42"/>
    <mergeCell ref="A78:D78"/>
    <mergeCell ref="A79:D79"/>
    <mergeCell ref="A80:D80"/>
    <mergeCell ref="A117:C117"/>
    <mergeCell ref="A83:D83"/>
    <mergeCell ref="A87:C87"/>
    <mergeCell ref="A88:C88"/>
    <mergeCell ref="A89:C89"/>
    <mergeCell ref="A90:C90"/>
    <mergeCell ref="A91:C91"/>
    <mergeCell ref="A95:C95"/>
    <mergeCell ref="A96:C96"/>
    <mergeCell ref="A97:C97"/>
    <mergeCell ref="A98:C98"/>
    <mergeCell ref="A116:C116"/>
  </mergeCells>
  <hyperlinks>
    <hyperlink ref="I89" r:id="rId1" xr:uid="{F12436ED-72B4-41A5-90A5-92235D7158A1}"/>
    <hyperlink ref="I91" r:id="rId2" xr:uid="{503E20FE-7725-446D-BA77-BDD5A70FDA6C}"/>
    <hyperlink ref="I87" r:id="rId3" xr:uid="{CE01DAA9-8AEF-437B-ADE4-36542F6CA813}"/>
    <hyperlink ref="I88" r:id="rId4" xr:uid="{185323A7-8986-401D-AA10-4D719169543B}"/>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A564-D884-48E2-91F6-57326BC7F8E7}">
  <sheetPr>
    <outlinePr summaryBelow="0" summaryRight="0"/>
  </sheetPr>
  <dimension ref="A1:AD1009"/>
  <sheetViews>
    <sheetView showGridLines="0" zoomScale="60" zoomScaleNormal="60" workbookViewId="0">
      <selection activeCell="I88" sqref="I88"/>
    </sheetView>
  </sheetViews>
  <sheetFormatPr defaultColWidth="14.54296875" defaultRowHeight="15" customHeight="1" x14ac:dyDescent="0.35"/>
  <cols>
    <col min="1" max="2" width="11.54296875" style="147" customWidth="1"/>
    <col min="3" max="3" width="11.1796875" style="147" customWidth="1"/>
    <col min="4" max="4" width="14.1796875" style="147" customWidth="1"/>
    <col min="5" max="5" width="12.54296875" style="147" customWidth="1"/>
    <col min="6" max="6" width="11.453125" style="147" customWidth="1"/>
    <col min="7" max="7" width="11.1796875" style="147" customWidth="1"/>
    <col min="8" max="8" width="13.54296875" style="147" customWidth="1"/>
    <col min="9" max="9" width="13.81640625" style="147" customWidth="1"/>
    <col min="10" max="10" width="13.7265625" style="147" customWidth="1"/>
    <col min="11" max="11" width="13.54296875" style="147" customWidth="1"/>
    <col min="12" max="12" width="9.81640625" style="147" customWidth="1"/>
    <col min="13" max="13" width="13.54296875" style="147" customWidth="1"/>
    <col min="14" max="14" width="14.26953125" style="147" customWidth="1"/>
    <col min="15" max="15" width="14.1796875" style="147" customWidth="1"/>
    <col min="16" max="16" width="13.1796875" style="147" customWidth="1"/>
    <col min="17" max="17" width="14.54296875" style="147" customWidth="1"/>
    <col min="18" max="16384" width="14.54296875" style="147"/>
  </cols>
  <sheetData>
    <row r="1" spans="1:26" ht="15.5" x14ac:dyDescent="0.35">
      <c r="A1" s="143" t="s">
        <v>268</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5" x14ac:dyDescent="0.3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5" x14ac:dyDescent="0.35">
      <c r="A3" s="253" t="s">
        <v>275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65" customHeight="1" x14ac:dyDescent="0.35">
      <c r="A4" s="422" t="s">
        <v>240</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3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3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3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5" x14ac:dyDescent="0.3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5" x14ac:dyDescent="0.3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35">
      <c r="A10" s="425" t="s">
        <v>2</v>
      </c>
      <c r="B10" s="395"/>
      <c r="C10" s="395"/>
      <c r="D10" s="395"/>
      <c r="E10" s="396"/>
      <c r="F10" s="151">
        <f>(4)</f>
        <v>4</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35">
      <c r="A11" s="425" t="s">
        <v>156</v>
      </c>
      <c r="B11" s="395"/>
      <c r="C11" s="395"/>
      <c r="D11" s="395"/>
      <c r="E11" s="396"/>
      <c r="F11" s="151">
        <f>(2.5)</f>
        <v>2.5</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35">
      <c r="A12" s="425" t="s">
        <v>5</v>
      </c>
      <c r="B12" s="395"/>
      <c r="C12" s="395"/>
      <c r="D12" s="395"/>
      <c r="E12" s="396"/>
      <c r="F12" s="152">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35">
      <c r="A13" s="425" t="s">
        <v>7</v>
      </c>
      <c r="B13" s="395"/>
      <c r="C13" s="395"/>
      <c r="D13" s="395"/>
      <c r="E13" s="396"/>
      <c r="F13" s="153">
        <v>0</v>
      </c>
      <c r="G13" s="145"/>
      <c r="H13" s="145" t="s">
        <v>276</v>
      </c>
      <c r="I13" s="145"/>
      <c r="J13" s="145"/>
      <c r="K13" s="145"/>
      <c r="L13" s="145"/>
      <c r="M13" s="145"/>
      <c r="N13" s="145"/>
      <c r="O13" s="145"/>
      <c r="P13" s="145"/>
      <c r="Q13" s="145"/>
      <c r="R13" s="145"/>
      <c r="S13" s="145"/>
      <c r="T13" s="145"/>
      <c r="U13" s="145"/>
      <c r="V13" s="145"/>
      <c r="W13" s="145"/>
      <c r="X13" s="145"/>
      <c r="Y13" s="145"/>
      <c r="Z13" s="145"/>
    </row>
    <row r="14" spans="1:26" ht="15.75" customHeight="1" x14ac:dyDescent="0.35">
      <c r="A14" s="412" t="s">
        <v>159</v>
      </c>
      <c r="B14" s="395"/>
      <c r="C14" s="395"/>
      <c r="D14" s="395"/>
      <c r="E14" s="396"/>
      <c r="F14" s="278">
        <f>(F10+F11+F12)*(1+F13)</f>
        <v>8.7530000000000001</v>
      </c>
      <c r="G14" s="145" t="s">
        <v>3</v>
      </c>
      <c r="H14" s="145"/>
      <c r="I14" s="145"/>
      <c r="J14" s="145"/>
      <c r="K14" s="145"/>
      <c r="L14" s="145"/>
      <c r="M14" s="145"/>
      <c r="N14" s="145"/>
      <c r="O14" s="145"/>
      <c r="P14" s="145"/>
      <c r="Q14" s="145"/>
      <c r="R14" s="145"/>
      <c r="S14" s="145"/>
      <c r="T14" s="145"/>
      <c r="U14" s="145"/>
      <c r="V14" s="145"/>
      <c r="W14" s="145"/>
      <c r="X14" s="145"/>
      <c r="Y14" s="145"/>
      <c r="Z14" s="145"/>
    </row>
    <row r="15" spans="1:26" ht="15.75" customHeight="1" x14ac:dyDescent="0.35">
      <c r="A15" s="414" t="s">
        <v>160</v>
      </c>
      <c r="B15" s="408"/>
      <c r="C15" s="408"/>
      <c r="D15" s="408"/>
      <c r="E15" s="409"/>
      <c r="F15" s="154">
        <v>0.01</v>
      </c>
      <c r="G15" s="145" t="s">
        <v>161</v>
      </c>
      <c r="H15" s="145" t="s">
        <v>162</v>
      </c>
      <c r="I15" s="145"/>
      <c r="J15" s="145"/>
      <c r="K15" s="145"/>
      <c r="L15" s="145"/>
      <c r="M15" s="145"/>
      <c r="N15" s="145"/>
      <c r="O15" s="145"/>
      <c r="P15" s="145"/>
      <c r="Q15" s="145"/>
      <c r="R15" s="145"/>
      <c r="S15" s="145"/>
      <c r="T15" s="145"/>
      <c r="U15" s="145"/>
      <c r="V15" s="145"/>
      <c r="W15" s="145"/>
      <c r="X15" s="145"/>
      <c r="Y15" s="145"/>
      <c r="Z15" s="145"/>
    </row>
    <row r="16" spans="1:26" ht="15.75" customHeight="1" x14ac:dyDescent="0.35">
      <c r="A16" s="426" t="s">
        <v>163</v>
      </c>
      <c r="B16" s="426"/>
      <c r="C16" s="426"/>
      <c r="D16" s="426"/>
      <c r="E16" s="426"/>
      <c r="F16" s="279">
        <f>(70000+24000)</f>
        <v>94000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35">
      <c r="A17" s="155" t="s">
        <v>164</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5" x14ac:dyDescent="0.35">
      <c r="A18" s="399" t="s">
        <v>165</v>
      </c>
      <c r="B18" s="395"/>
      <c r="C18" s="395"/>
      <c r="D18" s="395"/>
      <c r="E18" s="396"/>
      <c r="F18" s="151">
        <v>20</v>
      </c>
      <c r="G18" s="156" t="s">
        <v>12</v>
      </c>
      <c r="I18" s="145"/>
      <c r="J18" s="145"/>
      <c r="K18" s="145"/>
      <c r="L18" s="145"/>
      <c r="M18" s="145"/>
      <c r="N18" s="145"/>
      <c r="O18" s="145"/>
      <c r="P18" s="145"/>
      <c r="Q18" s="145"/>
      <c r="R18" s="145"/>
      <c r="S18" s="145"/>
      <c r="T18" s="145"/>
      <c r="U18" s="145"/>
      <c r="V18" s="145"/>
      <c r="W18" s="145"/>
      <c r="X18" s="145"/>
      <c r="Y18" s="145"/>
      <c r="Z18" s="145"/>
    </row>
    <row r="19" spans="1:26" ht="15.5" x14ac:dyDescent="0.35">
      <c r="A19" s="421" t="s">
        <v>13</v>
      </c>
      <c r="B19" s="395"/>
      <c r="C19" s="395"/>
      <c r="D19" s="395"/>
      <c r="E19" s="396"/>
      <c r="F19" s="157">
        <f>(F18*1000)/250*1.7</f>
        <v>136</v>
      </c>
      <c r="G19" s="158" t="s">
        <v>14</v>
      </c>
      <c r="H19" s="145"/>
      <c r="I19" s="145"/>
      <c r="J19" s="145"/>
      <c r="K19" s="145"/>
      <c r="L19" s="145"/>
      <c r="M19" s="145"/>
      <c r="N19" s="145"/>
      <c r="O19" s="145"/>
      <c r="P19" s="145"/>
      <c r="Q19" s="145"/>
      <c r="R19" s="145"/>
      <c r="S19" s="145"/>
      <c r="T19" s="145"/>
      <c r="U19" s="145"/>
      <c r="V19" s="145"/>
      <c r="W19" s="145"/>
      <c r="X19" s="145"/>
      <c r="Y19" s="145"/>
      <c r="Z19" s="145"/>
    </row>
    <row r="20" spans="1:26" ht="15.5" x14ac:dyDescent="0.35">
      <c r="A20" s="399" t="s">
        <v>166</v>
      </c>
      <c r="B20" s="395"/>
      <c r="C20" s="395"/>
      <c r="D20" s="395"/>
      <c r="E20" s="396"/>
      <c r="F20" s="159">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35">
      <c r="A21" s="419" t="s">
        <v>167</v>
      </c>
      <c r="B21" s="395"/>
      <c r="C21" s="395"/>
      <c r="D21" s="395"/>
      <c r="E21" s="396"/>
      <c r="F21" s="160">
        <f>(F18)*F20</f>
        <v>17600</v>
      </c>
      <c r="G21" s="158" t="s">
        <v>27</v>
      </c>
      <c r="H21" s="145"/>
      <c r="I21" s="145"/>
      <c r="J21" s="145"/>
      <c r="K21" s="145"/>
      <c r="L21" s="145"/>
      <c r="M21" s="145"/>
      <c r="N21" s="145"/>
      <c r="O21" s="145"/>
      <c r="P21" s="145"/>
      <c r="Q21" s="145"/>
      <c r="R21" s="145"/>
      <c r="S21" s="145"/>
      <c r="T21" s="145"/>
      <c r="U21" s="145"/>
      <c r="V21" s="145"/>
      <c r="W21" s="145"/>
      <c r="X21" s="145"/>
      <c r="Y21" s="145"/>
      <c r="Z21" s="145"/>
    </row>
    <row r="22" spans="1:26" ht="15.5" x14ac:dyDescent="0.35">
      <c r="A22" s="399" t="s">
        <v>28</v>
      </c>
      <c r="B22" s="395"/>
      <c r="C22" s="395"/>
      <c r="D22" s="395"/>
      <c r="E22" s="396"/>
      <c r="F22" s="161">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5" x14ac:dyDescent="0.35">
      <c r="A23" s="413" t="s">
        <v>225</v>
      </c>
      <c r="B23" s="395"/>
      <c r="C23" s="395"/>
      <c r="D23" s="395"/>
      <c r="E23" s="396"/>
      <c r="F23" s="162">
        <v>0.1</v>
      </c>
      <c r="G23" s="163"/>
      <c r="H23" s="145" t="s">
        <v>168</v>
      </c>
      <c r="I23" s="163"/>
      <c r="J23" s="163"/>
      <c r="K23" s="163"/>
      <c r="L23" s="163"/>
      <c r="M23" s="163"/>
      <c r="N23" s="163"/>
      <c r="O23" s="163"/>
      <c r="P23" s="163"/>
      <c r="Q23" s="163"/>
      <c r="R23" s="163"/>
      <c r="S23" s="163"/>
      <c r="T23" s="163"/>
      <c r="U23" s="163"/>
      <c r="V23" s="163"/>
      <c r="W23" s="163"/>
      <c r="X23" s="163"/>
      <c r="Y23" s="163"/>
      <c r="Z23" s="163"/>
    </row>
    <row r="24" spans="1:26" ht="15.75" customHeight="1" x14ac:dyDescent="0.35">
      <c r="A24" s="420" t="s">
        <v>169</v>
      </c>
      <c r="B24" s="395"/>
      <c r="C24" s="395"/>
      <c r="D24" s="395"/>
      <c r="E24" s="396"/>
      <c r="F24" s="151">
        <f>(2)</f>
        <v>2</v>
      </c>
      <c r="G24" s="145" t="s">
        <v>3</v>
      </c>
      <c r="H24" s="145" t="s">
        <v>170</v>
      </c>
      <c r="I24" s="145"/>
      <c r="J24" s="145"/>
      <c r="K24" s="145"/>
      <c r="L24" s="145"/>
      <c r="M24" s="145"/>
      <c r="N24" s="145"/>
      <c r="O24" s="145"/>
      <c r="P24" s="145"/>
      <c r="Q24" s="145"/>
      <c r="R24" s="145"/>
      <c r="S24" s="145"/>
      <c r="T24" s="145"/>
      <c r="U24" s="145"/>
      <c r="V24" s="145"/>
      <c r="W24" s="145"/>
      <c r="X24" s="145"/>
      <c r="Y24" s="145"/>
      <c r="Z24" s="145"/>
    </row>
    <row r="25" spans="1:26" ht="15.5" x14ac:dyDescent="0.35">
      <c r="A25" s="164"/>
      <c r="B25" s="164"/>
      <c r="C25" s="164"/>
      <c r="D25" s="164"/>
      <c r="E25" s="164"/>
      <c r="F25" s="165"/>
      <c r="G25" s="163"/>
      <c r="H25" s="163"/>
      <c r="I25" s="163"/>
      <c r="J25" s="163"/>
      <c r="K25" s="163"/>
      <c r="L25" s="163"/>
      <c r="M25" s="163"/>
      <c r="N25" s="163"/>
      <c r="O25" s="163"/>
      <c r="P25" s="163"/>
      <c r="Q25" s="163"/>
      <c r="R25" s="163"/>
      <c r="S25" s="163"/>
      <c r="T25" s="163"/>
      <c r="U25" s="163"/>
      <c r="V25" s="163"/>
      <c r="W25" s="163"/>
      <c r="X25" s="163"/>
      <c r="Y25" s="163"/>
      <c r="Z25" s="163"/>
    </row>
    <row r="26" spans="1:26" ht="15.5" x14ac:dyDescent="0.35">
      <c r="A26" s="166" t="s">
        <v>171</v>
      </c>
      <c r="B26" s="164"/>
      <c r="C26" s="164"/>
      <c r="D26" s="164"/>
      <c r="E26" s="164"/>
      <c r="F26" s="165"/>
      <c r="G26" s="163"/>
      <c r="H26" s="163"/>
      <c r="I26" s="163"/>
      <c r="J26" s="163"/>
      <c r="K26" s="163"/>
      <c r="L26" s="163"/>
      <c r="M26" s="163"/>
      <c r="N26" s="163"/>
      <c r="O26" s="163"/>
      <c r="P26" s="163"/>
      <c r="Q26" s="163"/>
      <c r="R26" s="163"/>
      <c r="S26" s="163"/>
      <c r="T26" s="163"/>
      <c r="U26" s="163"/>
      <c r="V26" s="163"/>
      <c r="W26" s="163"/>
      <c r="X26" s="163"/>
      <c r="Y26" s="163"/>
      <c r="Z26" s="163"/>
    </row>
    <row r="27" spans="1:26" ht="15.5" x14ac:dyDescent="0.35">
      <c r="A27" s="399" t="s">
        <v>172</v>
      </c>
      <c r="B27" s="395"/>
      <c r="C27" s="395"/>
      <c r="D27" s="395"/>
      <c r="E27" s="396"/>
      <c r="F27" s="167">
        <f>(19000)</f>
        <v>19000</v>
      </c>
      <c r="G27" s="145" t="s">
        <v>15</v>
      </c>
      <c r="H27" s="145" t="s">
        <v>269</v>
      </c>
      <c r="I27" s="145"/>
      <c r="J27" s="145"/>
      <c r="K27" s="145"/>
      <c r="L27" s="145"/>
      <c r="M27" s="145"/>
      <c r="N27" s="145"/>
      <c r="O27" s="145"/>
      <c r="P27" s="145"/>
      <c r="Q27" s="145"/>
      <c r="R27" s="145"/>
      <c r="S27" s="145"/>
      <c r="T27" s="145"/>
      <c r="U27" s="145"/>
      <c r="V27" s="145"/>
      <c r="W27" s="145"/>
      <c r="X27" s="145"/>
      <c r="Y27" s="145"/>
      <c r="Z27" s="145"/>
    </row>
    <row r="28" spans="1:26" ht="15.5" x14ac:dyDescent="0.35">
      <c r="A28" s="421" t="s">
        <v>16</v>
      </c>
      <c r="B28" s="395"/>
      <c r="C28" s="395"/>
      <c r="D28" s="395"/>
      <c r="E28" s="396"/>
      <c r="F28" s="168">
        <f>F27/F18</f>
        <v>950</v>
      </c>
      <c r="G28" s="158" t="s">
        <v>17</v>
      </c>
      <c r="H28" s="145"/>
      <c r="I28" s="145"/>
      <c r="J28" s="145"/>
      <c r="K28" s="145"/>
      <c r="L28" s="145"/>
      <c r="M28" s="145"/>
      <c r="N28" s="145"/>
      <c r="O28" s="145"/>
      <c r="P28" s="145"/>
      <c r="Q28" s="145"/>
      <c r="R28" s="145"/>
      <c r="S28" s="145"/>
      <c r="T28" s="145"/>
      <c r="U28" s="145"/>
      <c r="V28" s="145"/>
      <c r="W28" s="145"/>
      <c r="X28" s="145"/>
      <c r="Y28" s="145"/>
      <c r="Z28" s="145"/>
    </row>
    <row r="29" spans="1:26" ht="15.5" x14ac:dyDescent="0.35">
      <c r="A29" s="420" t="s">
        <v>173</v>
      </c>
      <c r="B29" s="395"/>
      <c r="C29" s="395"/>
      <c r="D29" s="395"/>
      <c r="E29" s="396"/>
      <c r="F29" s="162">
        <v>0.2</v>
      </c>
      <c r="G29" s="145"/>
      <c r="H29" s="145" t="s">
        <v>274</v>
      </c>
      <c r="I29" s="145"/>
      <c r="J29" s="145"/>
      <c r="K29" s="145"/>
      <c r="L29" s="145"/>
      <c r="M29" s="145"/>
      <c r="N29" s="145"/>
      <c r="O29" s="145"/>
      <c r="P29" s="145"/>
      <c r="Q29" s="145"/>
      <c r="R29" s="145"/>
      <c r="S29" s="145"/>
      <c r="T29" s="145"/>
      <c r="U29" s="145"/>
      <c r="V29" s="145"/>
      <c r="W29" s="145"/>
      <c r="X29" s="145"/>
      <c r="Y29" s="145"/>
      <c r="Z29" s="145"/>
    </row>
    <row r="30" spans="1:26" ht="15.75" customHeight="1" x14ac:dyDescent="0.35">
      <c r="A30" s="420" t="s">
        <v>21</v>
      </c>
      <c r="B30" s="395"/>
      <c r="C30" s="395"/>
      <c r="D30" s="395"/>
      <c r="E30" s="396"/>
      <c r="F30" s="169">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5" x14ac:dyDescent="0.35">
      <c r="A31" s="412" t="s">
        <v>22</v>
      </c>
      <c r="B31" s="395"/>
      <c r="C31" s="395"/>
      <c r="D31" s="395"/>
      <c r="E31" s="395"/>
      <c r="F31" s="168">
        <f>F27-(F27*F29)-F30</f>
        <v>15200</v>
      </c>
      <c r="G31" s="158" t="s">
        <v>15</v>
      </c>
      <c r="H31" s="145" t="s">
        <v>231</v>
      </c>
      <c r="I31" s="145"/>
      <c r="J31" s="145"/>
      <c r="K31" s="145"/>
      <c r="L31" s="145"/>
      <c r="M31" s="145"/>
      <c r="N31" s="145"/>
      <c r="O31" s="145"/>
      <c r="P31" s="145"/>
      <c r="Q31" s="145"/>
      <c r="R31" s="145"/>
      <c r="S31" s="145"/>
      <c r="T31" s="145"/>
      <c r="U31" s="145"/>
      <c r="V31" s="145"/>
      <c r="W31" s="145"/>
      <c r="X31" s="145"/>
      <c r="Y31" s="145"/>
      <c r="Z31" s="145"/>
    </row>
    <row r="32" spans="1:26" ht="15.5" x14ac:dyDescent="0.35">
      <c r="A32" s="413" t="s">
        <v>174</v>
      </c>
      <c r="B32" s="395"/>
      <c r="C32" s="395"/>
      <c r="D32" s="395"/>
      <c r="E32" s="395"/>
      <c r="F32" s="170">
        <v>5000</v>
      </c>
      <c r="G32" s="145"/>
      <c r="I32" s="145"/>
      <c r="J32" s="145"/>
      <c r="K32" s="145"/>
      <c r="L32" s="145"/>
      <c r="M32" s="145"/>
      <c r="N32" s="145"/>
      <c r="O32" s="145"/>
      <c r="P32" s="145"/>
      <c r="Q32" s="145"/>
      <c r="R32" s="145"/>
      <c r="S32" s="145"/>
      <c r="T32" s="145"/>
      <c r="U32" s="145"/>
      <c r="V32" s="145"/>
      <c r="W32" s="145"/>
      <c r="X32" s="145"/>
      <c r="Y32" s="145"/>
      <c r="Z32" s="145"/>
    </row>
    <row r="33" spans="1:30" ht="15.5" x14ac:dyDescent="0.35">
      <c r="A33" s="413" t="s">
        <v>175</v>
      </c>
      <c r="B33" s="395"/>
      <c r="C33" s="395"/>
      <c r="D33" s="395"/>
      <c r="E33" s="395"/>
      <c r="F33" s="171">
        <v>5</v>
      </c>
      <c r="G33" s="145" t="s">
        <v>37</v>
      </c>
      <c r="H33" s="145"/>
      <c r="I33" s="145"/>
      <c r="J33" s="145"/>
      <c r="K33" s="145"/>
      <c r="L33" s="145"/>
      <c r="M33" s="145"/>
      <c r="N33" s="145"/>
      <c r="O33" s="145"/>
      <c r="P33" s="145"/>
      <c r="Q33" s="145"/>
      <c r="R33" s="145"/>
      <c r="S33" s="145"/>
      <c r="T33" s="145"/>
      <c r="U33" s="145"/>
      <c r="V33" s="145"/>
      <c r="W33" s="145"/>
      <c r="X33" s="145"/>
      <c r="Y33" s="145"/>
      <c r="Z33" s="145"/>
    </row>
    <row r="34" spans="1:30" ht="15.5" x14ac:dyDescent="0.35">
      <c r="A34" s="413" t="s">
        <v>176</v>
      </c>
      <c r="B34" s="395"/>
      <c r="C34" s="395"/>
      <c r="D34" s="395"/>
      <c r="E34" s="395"/>
      <c r="F34" s="172">
        <v>1.4999999999999999E-2</v>
      </c>
      <c r="G34" s="145"/>
      <c r="H34" s="145"/>
      <c r="I34" s="145"/>
      <c r="J34" s="145"/>
      <c r="K34" s="145"/>
      <c r="L34" s="145"/>
      <c r="M34" s="145"/>
      <c r="N34" s="145"/>
      <c r="O34" s="145"/>
      <c r="P34" s="145"/>
      <c r="Q34" s="145"/>
      <c r="R34" s="145"/>
      <c r="S34" s="145"/>
      <c r="T34" s="145"/>
      <c r="U34" s="145"/>
      <c r="V34" s="145"/>
      <c r="W34" s="145"/>
      <c r="X34" s="145"/>
      <c r="Y34" s="145"/>
      <c r="Z34" s="145"/>
    </row>
    <row r="35" spans="1:30" ht="15.5" x14ac:dyDescent="0.35">
      <c r="A35" s="412" t="s">
        <v>177</v>
      </c>
      <c r="B35" s="395"/>
      <c r="C35" s="395"/>
      <c r="D35" s="395"/>
      <c r="E35" s="395"/>
      <c r="F35" s="173">
        <f>IFERROR(F32/F33,0)</f>
        <v>1000</v>
      </c>
      <c r="G35" s="158" t="s">
        <v>178</v>
      </c>
      <c r="H35" s="145" t="s">
        <v>4</v>
      </c>
      <c r="I35" s="145"/>
      <c r="J35" s="145"/>
      <c r="K35" s="145"/>
      <c r="L35" s="145"/>
      <c r="M35" s="145"/>
      <c r="N35" s="145"/>
      <c r="O35" s="145"/>
      <c r="P35" s="145"/>
      <c r="Q35" s="145"/>
      <c r="R35" s="145"/>
      <c r="S35" s="145"/>
      <c r="T35" s="145"/>
      <c r="U35" s="145"/>
      <c r="V35" s="145"/>
      <c r="W35" s="145"/>
      <c r="X35" s="145"/>
      <c r="Y35" s="145"/>
      <c r="Z35" s="145"/>
    </row>
    <row r="36" spans="1:30" ht="15.5" x14ac:dyDescent="0.35">
      <c r="A36" s="413" t="s">
        <v>23</v>
      </c>
      <c r="B36" s="395"/>
      <c r="C36" s="395"/>
      <c r="D36" s="395"/>
      <c r="E36" s="395"/>
      <c r="F36" s="161">
        <v>0</v>
      </c>
      <c r="G36" s="145"/>
      <c r="H36" s="145" t="s">
        <v>179</v>
      </c>
      <c r="I36" s="145"/>
      <c r="J36" s="145"/>
      <c r="K36" s="145"/>
      <c r="L36" s="145"/>
      <c r="M36" s="145"/>
      <c r="N36" s="145"/>
      <c r="O36" s="145"/>
      <c r="P36" s="145"/>
      <c r="Q36" s="145"/>
      <c r="R36" s="145"/>
      <c r="S36" s="145"/>
      <c r="T36" s="145"/>
      <c r="U36" s="145"/>
      <c r="V36" s="145"/>
      <c r="W36" s="145"/>
      <c r="X36" s="145"/>
      <c r="Y36" s="145"/>
      <c r="Z36" s="145"/>
    </row>
    <row r="37" spans="1:30" ht="15.5" x14ac:dyDescent="0.35">
      <c r="A37" s="414" t="s">
        <v>24</v>
      </c>
      <c r="B37" s="408"/>
      <c r="C37" s="408"/>
      <c r="D37" s="408"/>
      <c r="E37" s="409"/>
      <c r="F37" s="174">
        <v>0.08</v>
      </c>
      <c r="G37" s="145"/>
      <c r="H37" s="145" t="s">
        <v>180</v>
      </c>
      <c r="I37" s="145"/>
      <c r="J37" s="145"/>
      <c r="K37" s="145"/>
      <c r="L37" s="145"/>
      <c r="M37" s="145"/>
      <c r="N37" s="145"/>
      <c r="O37" s="145"/>
      <c r="P37" s="145"/>
      <c r="Q37" s="145"/>
      <c r="R37" s="145"/>
      <c r="S37" s="145"/>
      <c r="T37" s="145"/>
      <c r="U37" s="145"/>
      <c r="V37" s="145"/>
      <c r="W37" s="145"/>
      <c r="X37" s="145"/>
      <c r="Y37" s="145"/>
      <c r="Z37" s="145"/>
    </row>
    <row r="38" spans="1:30" ht="15.5" x14ac:dyDescent="0.35">
      <c r="A38" s="399" t="s">
        <v>230</v>
      </c>
      <c r="B38" s="395"/>
      <c r="C38" s="395"/>
      <c r="D38" s="395"/>
      <c r="E38" s="396"/>
      <c r="F38" s="170">
        <v>100</v>
      </c>
      <c r="G38" s="145" t="s">
        <v>15</v>
      </c>
      <c r="H38" s="145" t="s">
        <v>269</v>
      </c>
      <c r="I38" s="145"/>
      <c r="J38" s="145"/>
      <c r="K38" s="145"/>
      <c r="L38" s="145"/>
      <c r="M38" s="145"/>
      <c r="N38" s="145"/>
      <c r="O38" s="145"/>
      <c r="P38" s="145"/>
      <c r="Q38" s="145"/>
      <c r="R38" s="145"/>
      <c r="S38" s="145"/>
      <c r="T38" s="145"/>
      <c r="U38" s="145"/>
      <c r="V38" s="145"/>
      <c r="W38" s="145"/>
      <c r="X38" s="145"/>
      <c r="Y38" s="145"/>
      <c r="Z38" s="145"/>
    </row>
    <row r="39" spans="1:30" ht="15.75" customHeight="1" x14ac:dyDescent="0.35">
      <c r="A39" s="175"/>
      <c r="B39" s="176"/>
      <c r="C39" s="176"/>
      <c r="D39" s="177"/>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5" x14ac:dyDescent="0.35">
      <c r="A40" s="178" t="s">
        <v>181</v>
      </c>
      <c r="B40" s="145"/>
      <c r="C40" s="145"/>
      <c r="D40" s="145"/>
      <c r="E40" s="145"/>
      <c r="F40" s="145"/>
      <c r="G40" s="145"/>
      <c r="H40" s="179"/>
      <c r="I40" s="145"/>
      <c r="J40" s="145"/>
      <c r="K40" s="145"/>
      <c r="L40" s="145"/>
      <c r="M40" s="145"/>
      <c r="N40" s="145"/>
      <c r="O40" s="145"/>
      <c r="P40" s="145"/>
      <c r="Q40" s="145"/>
      <c r="R40" s="145"/>
      <c r="S40" s="145"/>
      <c r="T40" s="145"/>
      <c r="U40" s="145"/>
      <c r="V40" s="145"/>
      <c r="W40" s="145"/>
      <c r="X40" s="145"/>
      <c r="Y40" s="145"/>
      <c r="Z40" s="145"/>
    </row>
    <row r="41" spans="1:30" ht="15.5" x14ac:dyDescent="0.35">
      <c r="B41" s="145"/>
      <c r="C41" s="145"/>
      <c r="D41" s="145"/>
      <c r="E41" s="145"/>
      <c r="F41" s="145"/>
      <c r="G41" s="145"/>
      <c r="H41" s="179"/>
      <c r="I41" s="145"/>
      <c r="J41" s="145"/>
      <c r="K41" s="145"/>
      <c r="L41" s="145"/>
      <c r="M41" s="145"/>
      <c r="N41" s="145"/>
      <c r="O41" s="145"/>
      <c r="P41" s="145"/>
      <c r="Q41" s="145"/>
      <c r="R41" s="145"/>
      <c r="S41" s="145"/>
      <c r="T41" s="145"/>
      <c r="U41" s="145"/>
      <c r="V41" s="145"/>
      <c r="W41" s="145"/>
      <c r="X41" s="145"/>
      <c r="Y41" s="145"/>
      <c r="Z41" s="145"/>
    </row>
    <row r="42" spans="1:30" ht="15.65" customHeight="1" x14ac:dyDescent="0.35">
      <c r="A42" s="415" t="s">
        <v>182</v>
      </c>
      <c r="B42" s="396"/>
      <c r="C42" s="416" t="s">
        <v>183</v>
      </c>
      <c r="D42" s="396"/>
      <c r="E42" s="417" t="s">
        <v>184</v>
      </c>
      <c r="F42" s="418"/>
      <c r="G42" s="418"/>
      <c r="H42" s="418"/>
      <c r="I42" s="418"/>
      <c r="J42" s="418"/>
      <c r="K42" s="418"/>
      <c r="L42" s="401" t="s">
        <v>185</v>
      </c>
      <c r="M42" s="401"/>
      <c r="N42" s="402"/>
      <c r="P42" s="403" t="s">
        <v>186</v>
      </c>
      <c r="Q42" s="403"/>
      <c r="R42" s="403"/>
      <c r="S42" s="180"/>
      <c r="T42" s="181"/>
      <c r="U42" s="181"/>
      <c r="V42" s="181"/>
      <c r="W42" s="181"/>
      <c r="X42" s="181"/>
      <c r="Y42" s="181"/>
      <c r="Z42" s="181"/>
      <c r="AA42" s="181"/>
      <c r="AB42" s="181"/>
      <c r="AC42" s="181"/>
      <c r="AD42" s="181"/>
    </row>
    <row r="43" spans="1:30" ht="61.5" customHeight="1" x14ac:dyDescent="0.35">
      <c r="A43" s="182" t="s">
        <v>141</v>
      </c>
      <c r="B43" s="182" t="s">
        <v>187</v>
      </c>
      <c r="C43" s="183" t="s">
        <v>188</v>
      </c>
      <c r="D43" s="184" t="s">
        <v>189</v>
      </c>
      <c r="E43" s="185" t="s">
        <v>116</v>
      </c>
      <c r="F43" s="185" t="s">
        <v>190</v>
      </c>
      <c r="G43" s="186" t="s">
        <v>191</v>
      </c>
      <c r="H43" s="185" t="s">
        <v>147</v>
      </c>
      <c r="I43" s="185" t="s">
        <v>148</v>
      </c>
      <c r="J43" s="185" t="s">
        <v>149</v>
      </c>
      <c r="K43" s="186" t="s">
        <v>192</v>
      </c>
      <c r="L43" s="187" t="s">
        <v>193</v>
      </c>
      <c r="M43" s="188" t="s">
        <v>194</v>
      </c>
      <c r="N43" s="182" t="s">
        <v>195</v>
      </c>
      <c r="O43" s="189" t="s">
        <v>196</v>
      </c>
      <c r="P43" s="190" t="s">
        <v>197</v>
      </c>
      <c r="Q43" s="190" t="s">
        <v>198</v>
      </c>
      <c r="R43" s="190" t="s">
        <v>199</v>
      </c>
      <c r="S43" s="191"/>
      <c r="T43" s="192"/>
      <c r="U43" s="192"/>
      <c r="V43" s="192"/>
      <c r="W43" s="192"/>
      <c r="X43" s="192"/>
      <c r="Y43" s="192"/>
      <c r="Z43" s="192"/>
      <c r="AA43" s="192"/>
      <c r="AB43" s="192"/>
    </row>
    <row r="44" spans="1:30" ht="15.5" x14ac:dyDescent="0.35">
      <c r="A44" s="193">
        <v>0</v>
      </c>
      <c r="B44" s="194" t="s">
        <v>4</v>
      </c>
      <c r="C44" s="195" t="s">
        <v>4</v>
      </c>
      <c r="D44" s="196" t="s">
        <v>4</v>
      </c>
      <c r="E44" s="197">
        <f>0</f>
        <v>0</v>
      </c>
      <c r="F44" s="198">
        <f>IF((F33&gt;0),0,$F$31)</f>
        <v>0</v>
      </c>
      <c r="G44" s="199">
        <v>0</v>
      </c>
      <c r="H44" s="199">
        <f>IF(F32&gt;0,(F32),0)</f>
        <v>5000</v>
      </c>
      <c r="I44" s="199">
        <f>IF(OR(H44="",H44=0),0,F31-F32)</f>
        <v>10200</v>
      </c>
      <c r="J44" s="200">
        <v>0</v>
      </c>
      <c r="K44" s="201">
        <f>IFERROR(F44+G44+I44+J44,J44)</f>
        <v>10200</v>
      </c>
      <c r="L44" s="202" t="s">
        <v>4</v>
      </c>
      <c r="M44" s="203" t="s">
        <v>4</v>
      </c>
      <c r="N44" s="204" t="s">
        <v>4</v>
      </c>
      <c r="O44" s="319">
        <f>-K44</f>
        <v>-10200</v>
      </c>
      <c r="P44" s="206">
        <f>$O44</f>
        <v>-10200</v>
      </c>
      <c r="Q44" s="207" t="s">
        <v>4</v>
      </c>
      <c r="R44" s="193">
        <f t="shared" ref="R44:R74" si="0">IF(Q44&lt;0,1,0)</f>
        <v>0</v>
      </c>
      <c r="S44" s="208"/>
      <c r="T44" s="150"/>
      <c r="U44" s="145"/>
      <c r="V44" s="145"/>
      <c r="W44" s="145"/>
      <c r="X44" s="145"/>
      <c r="Y44" s="145"/>
      <c r="Z44" s="145"/>
      <c r="AA44" s="145"/>
      <c r="AB44" s="145"/>
      <c r="AC44" s="145"/>
    </row>
    <row r="45" spans="1:30" ht="15.5" x14ac:dyDescent="0.35">
      <c r="A45" s="193">
        <v>1</v>
      </c>
      <c r="B45" s="194">
        <f>F21</f>
        <v>17600</v>
      </c>
      <c r="C45" s="209">
        <f>(F14/100)</f>
        <v>8.7529999999999997E-2</v>
      </c>
      <c r="D45" s="196">
        <f t="shared" ref="D45:D74" si="1">B45*C45</f>
        <v>1540.528</v>
      </c>
      <c r="E45" s="197">
        <f>IF(OR(H44="",H44=0),"",E44+1)</f>
        <v>1</v>
      </c>
      <c r="F45" s="198">
        <f>IF(E45="","",$F$35)</f>
        <v>1000</v>
      </c>
      <c r="G45" s="199">
        <f>IF(E45="","",((H44*$F$34)))</f>
        <v>75</v>
      </c>
      <c r="H45" s="199">
        <f>IFERROR(ROUND(IF(E45="","",($H$44-SUM($F$44:F45))),2),"")</f>
        <v>4000</v>
      </c>
      <c r="I45" s="199"/>
      <c r="J45" s="200">
        <f t="shared" ref="J45:J57" si="2">$F$38</f>
        <v>100</v>
      </c>
      <c r="K45" s="201">
        <f>IFERROR(F45+G45+I45+J45,J45)</f>
        <v>1175</v>
      </c>
      <c r="L45" s="202">
        <f>F24/100</f>
        <v>0.02</v>
      </c>
      <c r="M45" s="203">
        <f t="shared" ref="M45:M74" si="3">B45*$F$23*L45</f>
        <v>35.200000000000003</v>
      </c>
      <c r="N45" s="204">
        <f t="shared" ref="N45:N74" si="4">D45*(1-$F$23)+M45</f>
        <v>1421.6752000000001</v>
      </c>
      <c r="O45" s="319">
        <f>N45-K45</f>
        <v>246.67520000000013</v>
      </c>
      <c r="P45" s="206">
        <f t="shared" ref="P45:P74" si="5">P44+$O45</f>
        <v>-9953.3248000000003</v>
      </c>
      <c r="Q45" s="210">
        <f>NPV($F$36,O44:O45)</f>
        <v>-9953.3248000000003</v>
      </c>
      <c r="R45" s="193">
        <f t="shared" si="0"/>
        <v>1</v>
      </c>
      <c r="S45" s="208"/>
      <c r="T45" s="150"/>
      <c r="U45" s="145"/>
      <c r="V45" s="145"/>
      <c r="W45" s="145"/>
      <c r="X45" s="145"/>
      <c r="Y45" s="145"/>
      <c r="Z45" s="145"/>
      <c r="AA45" s="145"/>
      <c r="AB45" s="145"/>
      <c r="AC45" s="145"/>
    </row>
    <row r="46" spans="1:30" ht="15.5" x14ac:dyDescent="0.35">
      <c r="A46" s="193">
        <v>2</v>
      </c>
      <c r="B46" s="194">
        <f t="shared" ref="B46:B74" si="6">$F$22*B45+B45</f>
        <v>17512</v>
      </c>
      <c r="C46" s="209">
        <f t="shared" ref="C46:C74" si="7">(1+$F$15)*C45</f>
        <v>8.8405299999999992E-2</v>
      </c>
      <c r="D46" s="196">
        <f t="shared" si="1"/>
        <v>1548.1536136</v>
      </c>
      <c r="E46" s="197">
        <f>IF(OR(H45="",H45=0),"",E45+1)</f>
        <v>2</v>
      </c>
      <c r="F46" s="198">
        <f t="shared" ref="F46:F64" si="8">IF(E46="","",$F$35)</f>
        <v>1000</v>
      </c>
      <c r="G46" s="199">
        <f>IF(E46="","",((H45*$F$34)))</f>
        <v>60</v>
      </c>
      <c r="H46" s="199">
        <f>IFERROR(ROUND(IF(E46="","",($H$44-SUM($F$44:F46))),2),"")</f>
        <v>3000</v>
      </c>
      <c r="I46" s="199"/>
      <c r="J46" s="200">
        <f t="shared" si="2"/>
        <v>100</v>
      </c>
      <c r="K46" s="201">
        <f t="shared" ref="K46:K74" si="9">IFERROR(F46+G46+I46+J46,J46)</f>
        <v>1160</v>
      </c>
      <c r="L46" s="202">
        <f t="shared" ref="L46:L74" si="10">(1+$F$15)*L45</f>
        <v>2.0199999999999999E-2</v>
      </c>
      <c r="M46" s="203">
        <f t="shared" si="3"/>
        <v>35.37424</v>
      </c>
      <c r="N46" s="204">
        <f t="shared" si="4"/>
        <v>1428.7124922400001</v>
      </c>
      <c r="O46" s="319">
        <f t="shared" ref="O46:O74" si="11">N46-K46</f>
        <v>268.71249224000007</v>
      </c>
      <c r="P46" s="206">
        <f t="shared" si="5"/>
        <v>-9684.6123077600005</v>
      </c>
      <c r="Q46" s="210">
        <f>NPV($F$36,O44:O46)</f>
        <v>-9684.6123077600005</v>
      </c>
      <c r="R46" s="193">
        <f t="shared" si="0"/>
        <v>1</v>
      </c>
      <c r="S46" s="208"/>
      <c r="T46" s="150"/>
      <c r="U46" s="145"/>
      <c r="V46" s="145"/>
      <c r="W46" s="145"/>
      <c r="X46" s="145"/>
      <c r="Y46" s="145"/>
      <c r="Z46" s="145"/>
      <c r="AA46" s="145"/>
      <c r="AB46" s="145"/>
      <c r="AC46" s="145"/>
    </row>
    <row r="47" spans="1:30" ht="15.5" x14ac:dyDescent="0.35">
      <c r="A47" s="193">
        <v>3</v>
      </c>
      <c r="B47" s="194">
        <f t="shared" si="6"/>
        <v>17424.439999999999</v>
      </c>
      <c r="C47" s="209">
        <f t="shared" si="7"/>
        <v>8.9289352999999988E-2</v>
      </c>
      <c r="D47" s="196">
        <f t="shared" si="1"/>
        <v>1555.8169739873197</v>
      </c>
      <c r="E47" s="197">
        <f t="shared" ref="E47:E64" si="12">IF(OR(H46="",H46=0),"",E46+1)</f>
        <v>3</v>
      </c>
      <c r="F47" s="198">
        <f t="shared" si="8"/>
        <v>1000</v>
      </c>
      <c r="G47" s="199">
        <f>IF(E47="","",((H46*$F$34)))</f>
        <v>45</v>
      </c>
      <c r="H47" s="199">
        <f>IFERROR(ROUND(IF(E47="","",($H$44-SUM($F$44:F47))),2),"")</f>
        <v>2000</v>
      </c>
      <c r="I47" s="199"/>
      <c r="J47" s="200">
        <f t="shared" si="2"/>
        <v>100</v>
      </c>
      <c r="K47" s="201">
        <f t="shared" si="9"/>
        <v>1145</v>
      </c>
      <c r="L47" s="202">
        <f t="shared" si="10"/>
        <v>2.0402E-2</v>
      </c>
      <c r="M47" s="203">
        <f t="shared" si="3"/>
        <v>35.549342488000001</v>
      </c>
      <c r="N47" s="204">
        <f t="shared" si="4"/>
        <v>1435.7846190765879</v>
      </c>
      <c r="O47" s="319">
        <f t="shared" si="11"/>
        <v>290.78461907658789</v>
      </c>
      <c r="P47" s="206">
        <f t="shared" si="5"/>
        <v>-9393.8276886834119</v>
      </c>
      <c r="Q47" s="210">
        <f>NPV($F$36,O44:O47)</f>
        <v>-9393.8276886834119</v>
      </c>
      <c r="R47" s="193">
        <f t="shared" si="0"/>
        <v>1</v>
      </c>
      <c r="S47" s="208"/>
      <c r="T47" s="150"/>
      <c r="U47" s="145"/>
      <c r="V47" s="145"/>
      <c r="W47" s="145"/>
      <c r="X47" s="145"/>
      <c r="Y47" s="145"/>
      <c r="Z47" s="145"/>
      <c r="AA47" s="145"/>
      <c r="AB47" s="145"/>
      <c r="AC47" s="145"/>
    </row>
    <row r="48" spans="1:30" ht="15.5" x14ac:dyDescent="0.35">
      <c r="A48" s="193">
        <v>4</v>
      </c>
      <c r="B48" s="194">
        <f t="shared" si="6"/>
        <v>17337.317799999997</v>
      </c>
      <c r="C48" s="209">
        <f t="shared" si="7"/>
        <v>9.0182246529999982E-2</v>
      </c>
      <c r="D48" s="196">
        <f t="shared" si="1"/>
        <v>1563.5182680085566</v>
      </c>
      <c r="E48" s="197">
        <f t="shared" si="12"/>
        <v>4</v>
      </c>
      <c r="F48" s="198">
        <f t="shared" si="8"/>
        <v>1000</v>
      </c>
      <c r="G48" s="199">
        <f t="shared" ref="G48:G64" si="13">IF(E48="","",((H47*$F$34)))</f>
        <v>30</v>
      </c>
      <c r="H48" s="199">
        <f>IFERROR(ROUND(IF(E48="","",($H$44-SUM($F$44:F48))),2),"")</f>
        <v>1000</v>
      </c>
      <c r="I48" s="199"/>
      <c r="J48" s="200">
        <f t="shared" si="2"/>
        <v>100</v>
      </c>
      <c r="K48" s="201">
        <f t="shared" si="9"/>
        <v>1130</v>
      </c>
      <c r="L48" s="202">
        <f t="shared" si="10"/>
        <v>2.0606019999999999E-2</v>
      </c>
      <c r="M48" s="203">
        <f t="shared" si="3"/>
        <v>35.725311733315593</v>
      </c>
      <c r="N48" s="204">
        <f t="shared" si="4"/>
        <v>1442.8917529410164</v>
      </c>
      <c r="O48" s="319">
        <f t="shared" si="11"/>
        <v>312.89175294101642</v>
      </c>
      <c r="P48" s="206">
        <f t="shared" si="5"/>
        <v>-9080.9359357423964</v>
      </c>
      <c r="Q48" s="210">
        <f>NPV($F$36,O44:O48)</f>
        <v>-9080.9359357423964</v>
      </c>
      <c r="R48" s="193">
        <f t="shared" si="0"/>
        <v>1</v>
      </c>
      <c r="S48" s="208"/>
      <c r="T48" s="150"/>
      <c r="U48" s="145"/>
      <c r="V48" s="145"/>
      <c r="W48" s="145"/>
      <c r="X48" s="145"/>
      <c r="Y48" s="145"/>
      <c r="Z48" s="145"/>
      <c r="AA48" s="145"/>
      <c r="AB48" s="145"/>
      <c r="AC48" s="145"/>
    </row>
    <row r="49" spans="1:29" ht="15.5" x14ac:dyDescent="0.35">
      <c r="A49" s="193">
        <v>5</v>
      </c>
      <c r="B49" s="194">
        <f t="shared" si="6"/>
        <v>17250.631210999996</v>
      </c>
      <c r="C49" s="209">
        <f t="shared" si="7"/>
        <v>9.1084068995299985E-2</v>
      </c>
      <c r="D49" s="196">
        <f t="shared" si="1"/>
        <v>1571.2576834351989</v>
      </c>
      <c r="E49" s="197">
        <f t="shared" si="12"/>
        <v>5</v>
      </c>
      <c r="F49" s="198">
        <f t="shared" si="8"/>
        <v>1000</v>
      </c>
      <c r="G49" s="199">
        <f t="shared" si="13"/>
        <v>15</v>
      </c>
      <c r="H49" s="199">
        <f>IFERROR(ROUND(IF(E49="","",($H$44-SUM($F$44:F49))),2),"")</f>
        <v>0</v>
      </c>
      <c r="I49" s="199"/>
      <c r="J49" s="200">
        <f t="shared" si="2"/>
        <v>100</v>
      </c>
      <c r="K49" s="201">
        <f t="shared" si="9"/>
        <v>1115</v>
      </c>
      <c r="L49" s="202">
        <f t="shared" si="10"/>
        <v>2.0812080199999999E-2</v>
      </c>
      <c r="M49" s="203">
        <f t="shared" si="3"/>
        <v>35.902152026395505</v>
      </c>
      <c r="N49" s="204">
        <f t="shared" si="4"/>
        <v>1450.0340671180745</v>
      </c>
      <c r="O49" s="319">
        <f t="shared" si="11"/>
        <v>335.03406711807452</v>
      </c>
      <c r="P49" s="206">
        <f t="shared" si="5"/>
        <v>-8745.9018686243217</v>
      </c>
      <c r="Q49" s="210">
        <f>NPV($F$36,O44:O49)</f>
        <v>-8745.9018686243217</v>
      </c>
      <c r="R49" s="193">
        <f t="shared" si="0"/>
        <v>1</v>
      </c>
      <c r="S49" s="208"/>
      <c r="T49" s="150"/>
      <c r="U49" s="145"/>
      <c r="V49" s="145"/>
      <c r="W49" s="145"/>
      <c r="X49" s="145"/>
      <c r="Y49" s="145"/>
      <c r="Z49" s="145"/>
      <c r="AA49" s="145"/>
      <c r="AB49" s="145"/>
      <c r="AC49" s="145"/>
    </row>
    <row r="50" spans="1:29" ht="15.5" x14ac:dyDescent="0.35">
      <c r="A50" s="193">
        <v>6</v>
      </c>
      <c r="B50" s="194">
        <f t="shared" si="6"/>
        <v>17164.378054944995</v>
      </c>
      <c r="C50" s="209">
        <f t="shared" si="7"/>
        <v>9.1994909685252993E-2</v>
      </c>
      <c r="D50" s="196">
        <f t="shared" si="1"/>
        <v>1579.0354089682032</v>
      </c>
      <c r="E50" s="197" t="str">
        <f t="shared" si="12"/>
        <v/>
      </c>
      <c r="F50" s="198" t="str">
        <f t="shared" si="8"/>
        <v/>
      </c>
      <c r="G50" s="199" t="str">
        <f t="shared" si="13"/>
        <v/>
      </c>
      <c r="H50" s="199" t="str">
        <f>IFERROR(ROUND(IF(E50="","",($H$44-SUM($F$44:F50))),2),"")</f>
        <v/>
      </c>
      <c r="I50" s="199"/>
      <c r="J50" s="200">
        <f t="shared" si="2"/>
        <v>100</v>
      </c>
      <c r="K50" s="201">
        <f t="shared" si="9"/>
        <v>100</v>
      </c>
      <c r="L50" s="202">
        <f t="shared" si="10"/>
        <v>2.1020201002E-2</v>
      </c>
      <c r="M50" s="203">
        <f t="shared" si="3"/>
        <v>36.079867678926163</v>
      </c>
      <c r="N50" s="204">
        <f t="shared" si="4"/>
        <v>1457.2117357503091</v>
      </c>
      <c r="O50" s="319">
        <f t="shared" si="11"/>
        <v>1357.2117357503091</v>
      </c>
      <c r="P50" s="206">
        <f t="shared" si="5"/>
        <v>-7388.6901328740123</v>
      </c>
      <c r="Q50" s="210">
        <f>NPV($F$36,O44:O50)</f>
        <v>-7388.6901328740123</v>
      </c>
      <c r="R50" s="193">
        <f t="shared" si="0"/>
        <v>1</v>
      </c>
      <c r="S50" s="208"/>
      <c r="T50" s="150"/>
      <c r="U50" s="145"/>
      <c r="V50" s="145"/>
      <c r="W50" s="145"/>
      <c r="X50" s="145"/>
      <c r="Y50" s="145"/>
      <c r="Z50" s="145"/>
      <c r="AA50" s="145"/>
      <c r="AB50" s="145"/>
      <c r="AC50" s="145"/>
    </row>
    <row r="51" spans="1:29" ht="15.5" x14ac:dyDescent="0.35">
      <c r="A51" s="193">
        <v>7</v>
      </c>
      <c r="B51" s="194">
        <f t="shared" si="6"/>
        <v>17078.55616467027</v>
      </c>
      <c r="C51" s="209">
        <f t="shared" si="7"/>
        <v>9.2914858782105522E-2</v>
      </c>
      <c r="D51" s="196">
        <f t="shared" si="1"/>
        <v>1586.8516342425958</v>
      </c>
      <c r="E51" s="197" t="str">
        <f t="shared" si="12"/>
        <v/>
      </c>
      <c r="F51" s="198" t="str">
        <f t="shared" si="8"/>
        <v/>
      </c>
      <c r="G51" s="199" t="str">
        <f t="shared" si="13"/>
        <v/>
      </c>
      <c r="H51" s="199" t="str">
        <f>IFERROR(ROUND(IF(E51="","",($H$44-SUM($F$44:F51))),2),"")</f>
        <v/>
      </c>
      <c r="I51" s="199"/>
      <c r="J51" s="200">
        <f t="shared" si="2"/>
        <v>100</v>
      </c>
      <c r="K51" s="201">
        <f t="shared" si="9"/>
        <v>100</v>
      </c>
      <c r="L51" s="202">
        <f t="shared" si="10"/>
        <v>2.1230403012020001E-2</v>
      </c>
      <c r="M51" s="203">
        <f t="shared" si="3"/>
        <v>36.258463023936848</v>
      </c>
      <c r="N51" s="204">
        <f t="shared" si="4"/>
        <v>1464.424933842273</v>
      </c>
      <c r="O51" s="319">
        <f t="shared" si="11"/>
        <v>1364.424933842273</v>
      </c>
      <c r="P51" s="206">
        <f t="shared" si="5"/>
        <v>-6024.265199031739</v>
      </c>
      <c r="Q51" s="210">
        <f>NPV($F$36,O44:O51)</f>
        <v>-6024.265199031739</v>
      </c>
      <c r="R51" s="193">
        <f t="shared" si="0"/>
        <v>1</v>
      </c>
      <c r="S51" s="208"/>
      <c r="T51" s="150"/>
      <c r="U51" s="145"/>
      <c r="V51" s="145"/>
      <c r="W51" s="145"/>
      <c r="X51" s="145"/>
      <c r="Y51" s="145"/>
      <c r="Z51" s="145"/>
      <c r="AA51" s="145"/>
      <c r="AB51" s="145"/>
      <c r="AC51" s="145"/>
    </row>
    <row r="52" spans="1:29" ht="15.5" x14ac:dyDescent="0.35">
      <c r="A52" s="193">
        <v>8</v>
      </c>
      <c r="B52" s="194">
        <f t="shared" si="6"/>
        <v>16993.163383846917</v>
      </c>
      <c r="C52" s="209">
        <f t="shared" si="7"/>
        <v>9.3844007369926583E-2</v>
      </c>
      <c r="D52" s="196">
        <f t="shared" si="1"/>
        <v>1594.7065498320967</v>
      </c>
      <c r="E52" s="197" t="str">
        <f t="shared" si="12"/>
        <v/>
      </c>
      <c r="F52" s="198" t="str">
        <f t="shared" si="8"/>
        <v/>
      </c>
      <c r="G52" s="199" t="str">
        <f t="shared" si="13"/>
        <v/>
      </c>
      <c r="H52" s="199" t="str">
        <f>IFERROR(ROUND(IF(E52="","",($H$44-SUM($F$44:F52))),2),"")</f>
        <v/>
      </c>
      <c r="I52" s="199"/>
      <c r="J52" s="200">
        <f t="shared" si="2"/>
        <v>100</v>
      </c>
      <c r="K52" s="201">
        <f t="shared" si="9"/>
        <v>100</v>
      </c>
      <c r="L52" s="202">
        <f t="shared" si="10"/>
        <v>2.1442707042140203E-2</v>
      </c>
      <c r="M52" s="203">
        <f t="shared" si="3"/>
        <v>36.437942415905333</v>
      </c>
      <c r="N52" s="204">
        <f t="shared" si="4"/>
        <v>1471.6738372647924</v>
      </c>
      <c r="O52" s="319">
        <f t="shared" si="11"/>
        <v>1371.6738372647924</v>
      </c>
      <c r="P52" s="206">
        <f t="shared" si="5"/>
        <v>-4652.5913617669466</v>
      </c>
      <c r="Q52" s="210">
        <f>NPV($F$36,O44:O52)</f>
        <v>-4652.5913617669466</v>
      </c>
      <c r="R52" s="193">
        <f t="shared" si="0"/>
        <v>1</v>
      </c>
      <c r="S52" s="208"/>
      <c r="T52" s="150"/>
      <c r="U52" s="145"/>
      <c r="V52" s="145"/>
      <c r="W52" s="145"/>
      <c r="X52" s="145"/>
      <c r="Y52" s="145"/>
      <c r="Z52" s="145"/>
      <c r="AA52" s="145"/>
      <c r="AB52" s="145"/>
      <c r="AC52" s="145"/>
    </row>
    <row r="53" spans="1:29" ht="15.5" x14ac:dyDescent="0.35">
      <c r="A53" s="193">
        <v>9</v>
      </c>
      <c r="B53" s="194">
        <f t="shared" si="6"/>
        <v>16908.197566927684</v>
      </c>
      <c r="C53" s="209">
        <f t="shared" si="7"/>
        <v>9.478244744362585E-2</v>
      </c>
      <c r="D53" s="196">
        <f t="shared" si="1"/>
        <v>1602.6003472537657</v>
      </c>
      <c r="E53" s="197" t="str">
        <f t="shared" si="12"/>
        <v/>
      </c>
      <c r="F53" s="198" t="str">
        <f t="shared" si="8"/>
        <v/>
      </c>
      <c r="G53" s="199" t="str">
        <f t="shared" si="13"/>
        <v/>
      </c>
      <c r="H53" s="199" t="str">
        <f>IFERROR(ROUND(IF(E53="","",($H$44-SUM($F$44:F53))),2),"")</f>
        <v/>
      </c>
      <c r="I53" s="199"/>
      <c r="J53" s="200">
        <f t="shared" si="2"/>
        <v>100</v>
      </c>
      <c r="K53" s="201">
        <f t="shared" si="9"/>
        <v>100</v>
      </c>
      <c r="L53" s="202">
        <f t="shared" si="10"/>
        <v>2.1657134112561604E-2</v>
      </c>
      <c r="M53" s="203">
        <f t="shared" si="3"/>
        <v>36.618310230864061</v>
      </c>
      <c r="N53" s="204">
        <f t="shared" si="4"/>
        <v>1478.9586227592533</v>
      </c>
      <c r="O53" s="319">
        <f t="shared" si="11"/>
        <v>1378.9586227592533</v>
      </c>
      <c r="P53" s="206">
        <f t="shared" si="5"/>
        <v>-3273.6327390076931</v>
      </c>
      <c r="Q53" s="210">
        <f>NPV($F$36,O44:O53)</f>
        <v>-3273.6327390076931</v>
      </c>
      <c r="R53" s="193">
        <f t="shared" si="0"/>
        <v>1</v>
      </c>
      <c r="S53" s="208"/>
      <c r="T53" s="150"/>
      <c r="U53" s="145"/>
      <c r="V53" s="145"/>
      <c r="W53" s="145"/>
      <c r="X53" s="145"/>
      <c r="Y53" s="145"/>
      <c r="Z53" s="145"/>
      <c r="AA53" s="145"/>
      <c r="AB53" s="145"/>
      <c r="AC53" s="145"/>
    </row>
    <row r="54" spans="1:29" ht="15.5" x14ac:dyDescent="0.35">
      <c r="A54" s="193">
        <v>10</v>
      </c>
      <c r="B54" s="194">
        <f t="shared" si="6"/>
        <v>16823.656579093044</v>
      </c>
      <c r="C54" s="209">
        <f t="shared" si="7"/>
        <v>9.5730271918062104E-2</v>
      </c>
      <c r="D54" s="196">
        <f t="shared" si="1"/>
        <v>1610.5332189726716</v>
      </c>
      <c r="E54" s="197" t="str">
        <f t="shared" si="12"/>
        <v/>
      </c>
      <c r="F54" s="198" t="str">
        <f t="shared" si="8"/>
        <v/>
      </c>
      <c r="G54" s="199" t="str">
        <f t="shared" si="13"/>
        <v/>
      </c>
      <c r="H54" s="199" t="str">
        <f>IFERROR(ROUND(IF(E54="","",($H$44-SUM($F$44:F54))),2),"")</f>
        <v/>
      </c>
      <c r="I54" s="199"/>
      <c r="J54" s="200">
        <f t="shared" si="2"/>
        <v>100</v>
      </c>
      <c r="K54" s="201">
        <f t="shared" si="9"/>
        <v>100</v>
      </c>
      <c r="L54" s="202">
        <f t="shared" si="10"/>
        <v>2.187370545368722E-2</v>
      </c>
      <c r="M54" s="203">
        <f t="shared" si="3"/>
        <v>36.799570866506841</v>
      </c>
      <c r="N54" s="204">
        <f t="shared" si="4"/>
        <v>1486.2794679419114</v>
      </c>
      <c r="O54" s="319">
        <f t="shared" si="11"/>
        <v>1386.2794679419114</v>
      </c>
      <c r="P54" s="206">
        <f t="shared" si="5"/>
        <v>-1887.3532710657817</v>
      </c>
      <c r="Q54" s="210">
        <f>NPV($F$36,O44:O54)</f>
        <v>-1887.3532710657817</v>
      </c>
      <c r="R54" s="193">
        <f t="shared" si="0"/>
        <v>1</v>
      </c>
      <c r="S54" s="208"/>
      <c r="T54" s="150"/>
      <c r="U54" s="145"/>
      <c r="V54" s="145"/>
      <c r="W54" s="145"/>
      <c r="X54" s="145"/>
      <c r="Y54" s="145"/>
      <c r="Z54" s="145"/>
      <c r="AA54" s="145"/>
      <c r="AB54" s="145"/>
      <c r="AC54" s="145"/>
    </row>
    <row r="55" spans="1:29" ht="15.5" x14ac:dyDescent="0.35">
      <c r="A55" s="193">
        <v>11</v>
      </c>
      <c r="B55" s="194">
        <f t="shared" si="6"/>
        <v>16739.538296197577</v>
      </c>
      <c r="C55" s="209">
        <f t="shared" si="7"/>
        <v>9.6687574637242729E-2</v>
      </c>
      <c r="D55" s="196">
        <f t="shared" si="1"/>
        <v>1618.5053584065863</v>
      </c>
      <c r="E55" s="197" t="str">
        <f t="shared" si="12"/>
        <v/>
      </c>
      <c r="F55" s="198" t="str">
        <f t="shared" si="8"/>
        <v/>
      </c>
      <c r="G55" s="199" t="str">
        <f t="shared" si="13"/>
        <v/>
      </c>
      <c r="H55" s="199" t="str">
        <f>IFERROR(ROUND(IF(E55="","",($H$44-SUM($F$44:F55))),2),"")</f>
        <v/>
      </c>
      <c r="I55" s="199"/>
      <c r="J55" s="200">
        <f t="shared" si="2"/>
        <v>100</v>
      </c>
      <c r="K55" s="201">
        <f t="shared" si="9"/>
        <v>100</v>
      </c>
      <c r="L55" s="202">
        <f t="shared" si="10"/>
        <v>2.2092442508224092E-2</v>
      </c>
      <c r="M55" s="203">
        <f t="shared" si="3"/>
        <v>36.981728742296049</v>
      </c>
      <c r="N55" s="204">
        <f t="shared" si="4"/>
        <v>1493.6365513082239</v>
      </c>
      <c r="O55" s="319">
        <f t="shared" si="11"/>
        <v>1393.6365513082239</v>
      </c>
      <c r="P55" s="206">
        <f t="shared" si="5"/>
        <v>-493.71671975755771</v>
      </c>
      <c r="Q55" s="210">
        <f>NPV($F$36,O44:O55)</f>
        <v>-493.71671975755771</v>
      </c>
      <c r="R55" s="193">
        <f t="shared" si="0"/>
        <v>1</v>
      </c>
      <c r="S55" s="208"/>
      <c r="T55" s="150"/>
      <c r="U55" s="145"/>
      <c r="V55" s="145"/>
      <c r="W55" s="145"/>
      <c r="X55" s="145"/>
      <c r="Y55" s="145"/>
      <c r="Z55" s="145"/>
      <c r="AA55" s="145"/>
      <c r="AB55" s="145"/>
      <c r="AC55" s="145"/>
    </row>
    <row r="56" spans="1:29" ht="15.5" x14ac:dyDescent="0.35">
      <c r="A56" s="193">
        <v>12</v>
      </c>
      <c r="B56" s="194">
        <f t="shared" si="6"/>
        <v>16655.840604716588</v>
      </c>
      <c r="C56" s="209">
        <f t="shared" si="7"/>
        <v>9.7654450383615157E-2</v>
      </c>
      <c r="D56" s="196">
        <f t="shared" si="1"/>
        <v>1626.5169599306987</v>
      </c>
      <c r="E56" s="197" t="str">
        <f t="shared" si="12"/>
        <v/>
      </c>
      <c r="F56" s="198" t="str">
        <f t="shared" si="8"/>
        <v/>
      </c>
      <c r="G56" s="199" t="str">
        <f t="shared" si="13"/>
        <v/>
      </c>
      <c r="H56" s="199" t="str">
        <f>IFERROR(ROUND(IF(E56="","",($H$44-SUM($F$44:F56))),2),"")</f>
        <v/>
      </c>
      <c r="I56" s="199"/>
      <c r="J56" s="200">
        <f t="shared" si="2"/>
        <v>100</v>
      </c>
      <c r="K56" s="201">
        <f t="shared" si="9"/>
        <v>100</v>
      </c>
      <c r="L56" s="202">
        <f t="shared" si="10"/>
        <v>2.2313366933306333E-2</v>
      </c>
      <c r="M56" s="203">
        <f t="shared" si="3"/>
        <v>37.164788299570411</v>
      </c>
      <c r="N56" s="204">
        <f t="shared" si="4"/>
        <v>1501.0300522371992</v>
      </c>
      <c r="O56" s="319">
        <f t="shared" si="11"/>
        <v>1401.0300522371992</v>
      </c>
      <c r="P56" s="206">
        <f t="shared" si="5"/>
        <v>907.31333247964153</v>
      </c>
      <c r="Q56" s="210">
        <f>NPV($F$36,O44:O56)</f>
        <v>907.31333247964153</v>
      </c>
      <c r="R56" s="193">
        <f t="shared" si="0"/>
        <v>0</v>
      </c>
      <c r="S56" s="208"/>
      <c r="T56" s="150"/>
      <c r="U56" s="145"/>
      <c r="V56" s="145"/>
      <c r="W56" s="145"/>
      <c r="X56" s="145"/>
      <c r="Y56" s="145"/>
      <c r="Z56" s="145"/>
      <c r="AA56" s="145"/>
      <c r="AB56" s="145"/>
      <c r="AC56" s="145"/>
    </row>
    <row r="57" spans="1:29" ht="15.5" x14ac:dyDescent="0.35">
      <c r="A57" s="193">
        <v>13</v>
      </c>
      <c r="B57" s="194">
        <f t="shared" si="6"/>
        <v>16572.561401693005</v>
      </c>
      <c r="C57" s="209">
        <f t="shared" si="7"/>
        <v>9.8630994887451306E-2</v>
      </c>
      <c r="D57" s="196">
        <f t="shared" si="1"/>
        <v>1634.5682188823557</v>
      </c>
      <c r="E57" s="197" t="str">
        <f t="shared" si="12"/>
        <v/>
      </c>
      <c r="F57" s="198" t="str">
        <f t="shared" si="8"/>
        <v/>
      </c>
      <c r="G57" s="199" t="str">
        <f t="shared" si="13"/>
        <v/>
      </c>
      <c r="H57" s="199" t="str">
        <f>IFERROR(ROUND(IF(E57="","",($H$44-SUM($F$44:F57))),2),"")</f>
        <v/>
      </c>
      <c r="I57" s="199"/>
      <c r="J57" s="200">
        <f t="shared" si="2"/>
        <v>100</v>
      </c>
      <c r="K57" s="201">
        <f t="shared" si="9"/>
        <v>100</v>
      </c>
      <c r="L57" s="202">
        <f t="shared" si="10"/>
        <v>2.2536500602639398E-2</v>
      </c>
      <c r="M57" s="203">
        <f t="shared" si="3"/>
        <v>37.348754001653283</v>
      </c>
      <c r="N57" s="204">
        <f t="shared" si="4"/>
        <v>1508.4601509957736</v>
      </c>
      <c r="O57" s="319">
        <f t="shared" si="11"/>
        <v>1408.4601509957736</v>
      </c>
      <c r="P57" s="206">
        <f t="shared" si="5"/>
        <v>2315.7734834754151</v>
      </c>
      <c r="Q57" s="210">
        <f>NPV($F$36,O44:O57)</f>
        <v>2315.7734834754151</v>
      </c>
      <c r="R57" s="193">
        <f t="shared" si="0"/>
        <v>0</v>
      </c>
      <c r="S57" s="208"/>
      <c r="T57" s="150"/>
      <c r="U57" s="145"/>
      <c r="V57" s="145"/>
      <c r="W57" s="145"/>
      <c r="X57" s="145"/>
      <c r="Y57" s="145"/>
      <c r="Z57" s="145"/>
      <c r="AA57" s="145"/>
      <c r="AB57" s="145"/>
      <c r="AC57" s="145"/>
    </row>
    <row r="58" spans="1:29" ht="15.5" x14ac:dyDescent="0.35">
      <c r="A58" s="193">
        <v>14</v>
      </c>
      <c r="B58" s="194">
        <f t="shared" si="6"/>
        <v>16489.698594684542</v>
      </c>
      <c r="C58" s="209">
        <f t="shared" si="7"/>
        <v>9.9617304836325818E-2</v>
      </c>
      <c r="D58" s="196">
        <f t="shared" si="1"/>
        <v>1642.6593315658233</v>
      </c>
      <c r="E58" s="197" t="str">
        <f t="shared" si="12"/>
        <v/>
      </c>
      <c r="F58" s="198" t="str">
        <f t="shared" si="8"/>
        <v/>
      </c>
      <c r="G58" s="199" t="str">
        <f t="shared" si="13"/>
        <v/>
      </c>
      <c r="H58" s="199" t="str">
        <f>IFERROR(ROUND(IF(E58="","",($H$44-SUM($F$44:F58))),2),"")</f>
        <v/>
      </c>
      <c r="I58" s="199"/>
      <c r="J58" s="200">
        <f>$F$38</f>
        <v>100</v>
      </c>
      <c r="K58" s="201">
        <f t="shared" si="9"/>
        <v>100</v>
      </c>
      <c r="L58" s="202">
        <f t="shared" si="10"/>
        <v>2.2761865608665791E-2</v>
      </c>
      <c r="M58" s="203">
        <f t="shared" si="3"/>
        <v>37.533630333961469</v>
      </c>
      <c r="N58" s="204">
        <f t="shared" si="4"/>
        <v>1515.9270287432023</v>
      </c>
      <c r="O58" s="319">
        <f t="shared" si="11"/>
        <v>1415.9270287432023</v>
      </c>
      <c r="P58" s="206">
        <f t="shared" si="5"/>
        <v>3731.7005122186174</v>
      </c>
      <c r="Q58" s="210">
        <f>NPV($F$36,O44:O58)</f>
        <v>3731.7005122186174</v>
      </c>
      <c r="R58" s="193">
        <f t="shared" si="0"/>
        <v>0</v>
      </c>
      <c r="S58" s="208"/>
      <c r="T58" s="150"/>
      <c r="U58" s="145"/>
      <c r="V58" s="145"/>
      <c r="W58" s="145"/>
      <c r="X58" s="145"/>
      <c r="Y58" s="145"/>
      <c r="Z58" s="145"/>
      <c r="AA58" s="145"/>
      <c r="AB58" s="145"/>
      <c r="AC58" s="145"/>
    </row>
    <row r="59" spans="1:29" ht="15.5" x14ac:dyDescent="0.35">
      <c r="A59" s="193">
        <v>15</v>
      </c>
      <c r="B59" s="194">
        <f t="shared" si="6"/>
        <v>16407.250101711117</v>
      </c>
      <c r="C59" s="209">
        <f t="shared" si="7"/>
        <v>0.10061347788468908</v>
      </c>
      <c r="D59" s="196">
        <f t="shared" si="1"/>
        <v>1650.7904952570741</v>
      </c>
      <c r="E59" s="197" t="str">
        <f t="shared" si="12"/>
        <v/>
      </c>
      <c r="F59" s="198" t="str">
        <f t="shared" si="8"/>
        <v/>
      </c>
      <c r="G59" s="199" t="str">
        <f t="shared" si="13"/>
        <v/>
      </c>
      <c r="H59" s="199" t="str">
        <f>IFERROR(ROUND(IF(E59="","",($H$44-SUM($F$44:F59))),2),"")</f>
        <v/>
      </c>
      <c r="I59" s="199"/>
      <c r="J59" s="200">
        <f>$F$38+F27*F37</f>
        <v>1620</v>
      </c>
      <c r="K59" s="201">
        <f t="shared" si="9"/>
        <v>1620</v>
      </c>
      <c r="L59" s="202">
        <f t="shared" si="10"/>
        <v>2.298948426475245E-2</v>
      </c>
      <c r="M59" s="203">
        <f t="shared" si="3"/>
        <v>37.719421804114575</v>
      </c>
      <c r="N59" s="204">
        <f t="shared" si="4"/>
        <v>1523.4308675354812</v>
      </c>
      <c r="O59" s="319">
        <f t="shared" si="11"/>
        <v>-96.569132464518816</v>
      </c>
      <c r="P59" s="206">
        <f t="shared" si="5"/>
        <v>3635.1313797540988</v>
      </c>
      <c r="Q59" s="210">
        <f>NPV($F$36,O44:O59)</f>
        <v>3635.1313797540988</v>
      </c>
      <c r="R59" s="193">
        <f t="shared" si="0"/>
        <v>0</v>
      </c>
      <c r="S59" s="208"/>
      <c r="T59" s="150"/>
      <c r="U59" s="145"/>
      <c r="V59" s="145"/>
      <c r="W59" s="145"/>
      <c r="X59" s="145"/>
      <c r="Y59" s="145"/>
      <c r="Z59" s="145"/>
      <c r="AA59" s="145"/>
      <c r="AB59" s="145"/>
      <c r="AC59" s="145"/>
    </row>
    <row r="60" spans="1:29" ht="15.5" x14ac:dyDescent="0.35">
      <c r="A60" s="193">
        <v>16</v>
      </c>
      <c r="B60" s="194">
        <f t="shared" si="6"/>
        <v>16325.213851202561</v>
      </c>
      <c r="C60" s="209">
        <f t="shared" si="7"/>
        <v>0.10161961266353597</v>
      </c>
      <c r="D60" s="196">
        <f t="shared" si="1"/>
        <v>1658.9619082085967</v>
      </c>
      <c r="E60" s="197" t="str">
        <f t="shared" si="12"/>
        <v/>
      </c>
      <c r="F60" s="198" t="str">
        <f t="shared" si="8"/>
        <v/>
      </c>
      <c r="G60" s="199" t="str">
        <f t="shared" si="13"/>
        <v/>
      </c>
      <c r="H60" s="199" t="str">
        <f>IFERROR(ROUND(IF(E60="","",($H$44-SUM($F$44:F60))),2),"")</f>
        <v/>
      </c>
      <c r="I60" s="199"/>
      <c r="J60" s="200">
        <f t="shared" ref="J60:J74" si="14">$F$38</f>
        <v>100</v>
      </c>
      <c r="K60" s="201">
        <f t="shared" si="9"/>
        <v>100</v>
      </c>
      <c r="L60" s="202">
        <f t="shared" si="10"/>
        <v>2.3219379107399976E-2</v>
      </c>
      <c r="M60" s="203">
        <f t="shared" si="3"/>
        <v>37.906132942044948</v>
      </c>
      <c r="N60" s="204">
        <f t="shared" si="4"/>
        <v>1530.971850329782</v>
      </c>
      <c r="O60" s="319">
        <f t="shared" si="11"/>
        <v>1430.971850329782</v>
      </c>
      <c r="P60" s="206">
        <f t="shared" si="5"/>
        <v>5066.1032300838806</v>
      </c>
      <c r="Q60" s="210">
        <f>NPV($F$36,O44:O60)</f>
        <v>5066.1032300838806</v>
      </c>
      <c r="R60" s="193">
        <f t="shared" si="0"/>
        <v>0</v>
      </c>
      <c r="S60" s="208"/>
      <c r="T60" s="150"/>
      <c r="U60" s="145"/>
      <c r="V60" s="145"/>
      <c r="W60" s="145"/>
      <c r="X60" s="145"/>
      <c r="Y60" s="145"/>
      <c r="Z60" s="145"/>
      <c r="AA60" s="145"/>
      <c r="AB60" s="145"/>
      <c r="AC60" s="145"/>
    </row>
    <row r="61" spans="1:29" ht="15.5" x14ac:dyDescent="0.35">
      <c r="A61" s="193">
        <v>17</v>
      </c>
      <c r="B61" s="194">
        <f t="shared" si="6"/>
        <v>16243.587781946548</v>
      </c>
      <c r="C61" s="209">
        <f t="shared" si="7"/>
        <v>0.10263580879017134</v>
      </c>
      <c r="D61" s="196">
        <f t="shared" si="1"/>
        <v>1667.1737696542293</v>
      </c>
      <c r="E61" s="197" t="str">
        <f t="shared" si="12"/>
        <v/>
      </c>
      <c r="F61" s="198" t="str">
        <f t="shared" si="8"/>
        <v/>
      </c>
      <c r="G61" s="199" t="str">
        <f t="shared" si="13"/>
        <v/>
      </c>
      <c r="H61" s="199" t="str">
        <f>IFERROR(ROUND(IF(E61="","",($H$44-SUM($F$44:F61))),2),"")</f>
        <v/>
      </c>
      <c r="I61" s="199"/>
      <c r="J61" s="200">
        <f t="shared" si="14"/>
        <v>100</v>
      </c>
      <c r="K61" s="201">
        <f t="shared" si="9"/>
        <v>100</v>
      </c>
      <c r="L61" s="202">
        <f t="shared" si="10"/>
        <v>2.3451572898473976E-2</v>
      </c>
      <c r="M61" s="203">
        <f t="shared" si="3"/>
        <v>38.093768300108067</v>
      </c>
      <c r="N61" s="204">
        <f t="shared" si="4"/>
        <v>1538.5501609889143</v>
      </c>
      <c r="O61" s="319">
        <f t="shared" si="11"/>
        <v>1438.5501609889143</v>
      </c>
      <c r="P61" s="206">
        <f t="shared" si="5"/>
        <v>6504.6533910727949</v>
      </c>
      <c r="Q61" s="210">
        <f>NPV($F$36,O44:O61)</f>
        <v>6504.6533910727949</v>
      </c>
      <c r="R61" s="193">
        <f t="shared" si="0"/>
        <v>0</v>
      </c>
      <c r="S61" s="208"/>
      <c r="T61" s="150"/>
      <c r="U61" s="145"/>
      <c r="V61" s="145"/>
      <c r="W61" s="145"/>
      <c r="X61" s="145"/>
      <c r="Y61" s="145"/>
      <c r="Z61" s="145"/>
      <c r="AA61" s="145"/>
      <c r="AB61" s="145"/>
      <c r="AC61" s="145"/>
    </row>
    <row r="62" spans="1:29" ht="15.5" x14ac:dyDescent="0.35">
      <c r="A62" s="193">
        <v>18</v>
      </c>
      <c r="B62" s="194">
        <f t="shared" si="6"/>
        <v>16162.369843036815</v>
      </c>
      <c r="C62" s="209">
        <f t="shared" si="7"/>
        <v>0.10366216687807306</v>
      </c>
      <c r="D62" s="196">
        <f t="shared" si="1"/>
        <v>1675.4262798140178</v>
      </c>
      <c r="E62" s="197" t="str">
        <f t="shared" si="12"/>
        <v/>
      </c>
      <c r="F62" s="198" t="str">
        <f t="shared" si="8"/>
        <v/>
      </c>
      <c r="G62" s="199" t="str">
        <f t="shared" si="13"/>
        <v/>
      </c>
      <c r="H62" s="199" t="str">
        <f>IFERROR(ROUND(IF(E62="","",($H$44-SUM($F$44:F62))),2),"")</f>
        <v/>
      </c>
      <c r="I62" s="199"/>
      <c r="J62" s="200">
        <f t="shared" si="14"/>
        <v>100</v>
      </c>
      <c r="K62" s="201">
        <f t="shared" si="9"/>
        <v>100</v>
      </c>
      <c r="L62" s="202">
        <f t="shared" si="10"/>
        <v>2.3686088627458714E-2</v>
      </c>
      <c r="M62" s="203">
        <f t="shared" si="3"/>
        <v>38.282332453193597</v>
      </c>
      <c r="N62" s="204">
        <f t="shared" si="4"/>
        <v>1546.1659842858098</v>
      </c>
      <c r="O62" s="319">
        <f t="shared" si="11"/>
        <v>1446.1659842858098</v>
      </c>
      <c r="P62" s="206">
        <f t="shared" si="5"/>
        <v>7950.8193753586047</v>
      </c>
      <c r="Q62" s="210">
        <f>NPV($F$36,O44:O62)</f>
        <v>7950.8193753586047</v>
      </c>
      <c r="R62" s="193">
        <f t="shared" si="0"/>
        <v>0</v>
      </c>
      <c r="S62" s="208"/>
      <c r="T62" s="150"/>
      <c r="U62" s="145"/>
      <c r="V62" s="145"/>
      <c r="W62" s="145"/>
      <c r="X62" s="145"/>
      <c r="Y62" s="145"/>
      <c r="Z62" s="145"/>
      <c r="AA62" s="145"/>
      <c r="AB62" s="145"/>
      <c r="AC62" s="145"/>
    </row>
    <row r="63" spans="1:29" ht="15.5" x14ac:dyDescent="0.35">
      <c r="A63" s="193">
        <v>19</v>
      </c>
      <c r="B63" s="194">
        <f t="shared" si="6"/>
        <v>16081.557993821631</v>
      </c>
      <c r="C63" s="209">
        <f t="shared" si="7"/>
        <v>0.10469878854685379</v>
      </c>
      <c r="D63" s="196">
        <f t="shared" si="1"/>
        <v>1683.719639899097</v>
      </c>
      <c r="E63" s="197" t="str">
        <f t="shared" si="12"/>
        <v/>
      </c>
      <c r="F63" s="198" t="str">
        <f t="shared" si="8"/>
        <v/>
      </c>
      <c r="G63" s="199" t="str">
        <f t="shared" si="13"/>
        <v/>
      </c>
      <c r="H63" s="199" t="str">
        <f>IFERROR(ROUND(IF(E63="","",($H$44-SUM($F$44:F63))),2),"")</f>
        <v/>
      </c>
      <c r="I63" s="199"/>
      <c r="J63" s="200">
        <f t="shared" si="14"/>
        <v>100</v>
      </c>
      <c r="K63" s="201">
        <f t="shared" si="9"/>
        <v>100</v>
      </c>
      <c r="L63" s="202">
        <f t="shared" si="10"/>
        <v>2.3922949513733301E-2</v>
      </c>
      <c r="M63" s="203">
        <f t="shared" si="3"/>
        <v>38.47182999883691</v>
      </c>
      <c r="N63" s="204">
        <f t="shared" si="4"/>
        <v>1553.8195059080242</v>
      </c>
      <c r="O63" s="319">
        <f t="shared" si="11"/>
        <v>1453.8195059080242</v>
      </c>
      <c r="P63" s="206">
        <f t="shared" si="5"/>
        <v>9404.6388812666282</v>
      </c>
      <c r="Q63" s="210">
        <f>NPV($F$36,O44:O63)</f>
        <v>9404.6388812666282</v>
      </c>
      <c r="R63" s="193">
        <f t="shared" si="0"/>
        <v>0</v>
      </c>
      <c r="S63" s="208"/>
      <c r="T63" s="150"/>
      <c r="U63" s="145"/>
      <c r="V63" s="145"/>
      <c r="W63" s="145"/>
      <c r="X63" s="145"/>
      <c r="Y63" s="145"/>
      <c r="Z63" s="145"/>
      <c r="AA63" s="145"/>
      <c r="AB63" s="145"/>
      <c r="AC63" s="145"/>
    </row>
    <row r="64" spans="1:29" ht="15.5" x14ac:dyDescent="0.35">
      <c r="A64" s="193">
        <v>20</v>
      </c>
      <c r="B64" s="194">
        <f t="shared" si="6"/>
        <v>16001.150203852523</v>
      </c>
      <c r="C64" s="209">
        <f t="shared" si="7"/>
        <v>0.10574577643232233</v>
      </c>
      <c r="D64" s="196">
        <f t="shared" si="1"/>
        <v>1692.0540521165979</v>
      </c>
      <c r="E64" s="197" t="str">
        <f t="shared" si="12"/>
        <v/>
      </c>
      <c r="F64" s="198" t="str">
        <f t="shared" si="8"/>
        <v/>
      </c>
      <c r="G64" s="199" t="str">
        <f t="shared" si="13"/>
        <v/>
      </c>
      <c r="H64" s="199" t="str">
        <f>IFERROR(ROUND(IF(E64="","",($H$44-SUM($F$44:F64))),2),"")</f>
        <v/>
      </c>
      <c r="I64" s="199"/>
      <c r="J64" s="200">
        <f t="shared" si="14"/>
        <v>100</v>
      </c>
      <c r="K64" s="201">
        <f t="shared" si="9"/>
        <v>100</v>
      </c>
      <c r="L64" s="202">
        <f t="shared" si="10"/>
        <v>2.4162179008870636E-2</v>
      </c>
      <c r="M64" s="203">
        <f t="shared" si="3"/>
        <v>38.662265557331153</v>
      </c>
      <c r="N64" s="204">
        <f t="shared" si="4"/>
        <v>1561.5109124622693</v>
      </c>
      <c r="O64" s="319">
        <f t="shared" si="11"/>
        <v>1461.5109124622693</v>
      </c>
      <c r="P64" s="206">
        <f t="shared" si="5"/>
        <v>10866.149793728897</v>
      </c>
      <c r="Q64" s="210">
        <f>NPV($F$36,O44:O64)</f>
        <v>10866.149793728897</v>
      </c>
      <c r="R64" s="193">
        <f t="shared" si="0"/>
        <v>0</v>
      </c>
      <c r="S64" s="208"/>
      <c r="T64" s="150"/>
      <c r="U64" s="145"/>
      <c r="V64" s="145"/>
      <c r="W64" s="145"/>
      <c r="X64" s="145"/>
      <c r="Y64" s="145"/>
      <c r="Z64" s="145"/>
      <c r="AA64" s="145"/>
      <c r="AB64" s="145"/>
      <c r="AC64" s="145"/>
    </row>
    <row r="65" spans="1:29" ht="15.5" x14ac:dyDescent="0.35">
      <c r="A65" s="193">
        <v>21</v>
      </c>
      <c r="B65" s="194">
        <f t="shared" si="6"/>
        <v>15921.144452833261</v>
      </c>
      <c r="C65" s="209">
        <f t="shared" si="7"/>
        <v>0.10680323419664556</v>
      </c>
      <c r="D65" s="196">
        <f t="shared" si="1"/>
        <v>1700.4297196745752</v>
      </c>
      <c r="E65" s="197"/>
      <c r="F65" s="198"/>
      <c r="G65" s="199" t="s">
        <v>4</v>
      </c>
      <c r="H65" s="199"/>
      <c r="I65" s="199"/>
      <c r="J65" s="200">
        <f t="shared" si="14"/>
        <v>100</v>
      </c>
      <c r="K65" s="201">
        <f t="shared" si="9"/>
        <v>100</v>
      </c>
      <c r="L65" s="202">
        <f t="shared" si="10"/>
        <v>2.4403800798959343E-2</v>
      </c>
      <c r="M65" s="203">
        <f t="shared" si="3"/>
        <v>38.853643771839948</v>
      </c>
      <c r="N65" s="204">
        <f t="shared" si="4"/>
        <v>1569.2403914789575</v>
      </c>
      <c r="O65" s="319">
        <f t="shared" si="11"/>
        <v>1469.2403914789575</v>
      </c>
      <c r="P65" s="206">
        <f t="shared" si="5"/>
        <v>12335.390185207854</v>
      </c>
      <c r="Q65" s="210">
        <f>NPV($F$36,O44:O65)</f>
        <v>12335.390185207854</v>
      </c>
      <c r="R65" s="193">
        <f t="shared" si="0"/>
        <v>0</v>
      </c>
      <c r="S65" s="208"/>
      <c r="T65" s="150"/>
      <c r="U65" s="145"/>
      <c r="V65" s="145"/>
      <c r="W65" s="145"/>
      <c r="X65" s="145"/>
      <c r="Y65" s="145"/>
      <c r="Z65" s="145"/>
      <c r="AA65" s="145"/>
      <c r="AB65" s="145"/>
      <c r="AC65" s="145"/>
    </row>
    <row r="66" spans="1:29" ht="15.5" x14ac:dyDescent="0.35">
      <c r="A66" s="193">
        <v>22</v>
      </c>
      <c r="B66" s="194">
        <f t="shared" si="6"/>
        <v>15841.538730569095</v>
      </c>
      <c r="C66" s="209">
        <f t="shared" si="7"/>
        <v>0.10787126653861201</v>
      </c>
      <c r="D66" s="196">
        <f t="shared" si="1"/>
        <v>1708.8468467869641</v>
      </c>
      <c r="E66" s="197"/>
      <c r="F66" s="198"/>
      <c r="G66" s="199" t="s">
        <v>4</v>
      </c>
      <c r="H66" s="199"/>
      <c r="I66" s="199"/>
      <c r="J66" s="200">
        <f t="shared" si="14"/>
        <v>100</v>
      </c>
      <c r="K66" s="201">
        <f t="shared" si="9"/>
        <v>100</v>
      </c>
      <c r="L66" s="202">
        <f t="shared" si="10"/>
        <v>2.4647838806948937E-2</v>
      </c>
      <c r="M66" s="203">
        <f t="shared" si="3"/>
        <v>39.045969308510557</v>
      </c>
      <c r="N66" s="204">
        <f t="shared" si="4"/>
        <v>1577.0081314167783</v>
      </c>
      <c r="O66" s="319">
        <f t="shared" si="11"/>
        <v>1477.0081314167783</v>
      </c>
      <c r="P66" s="206">
        <f t="shared" si="5"/>
        <v>13812.398316624633</v>
      </c>
      <c r="Q66" s="210">
        <f>NPV($F$36,O44:O66)</f>
        <v>13812.398316624633</v>
      </c>
      <c r="R66" s="193">
        <f t="shared" si="0"/>
        <v>0</v>
      </c>
      <c r="S66" s="208"/>
      <c r="T66" s="150"/>
      <c r="U66" s="145"/>
      <c r="V66" s="145"/>
      <c r="W66" s="145"/>
      <c r="X66" s="145"/>
      <c r="Y66" s="145"/>
      <c r="Z66" s="145"/>
      <c r="AA66" s="145"/>
      <c r="AB66" s="145"/>
      <c r="AC66" s="145"/>
    </row>
    <row r="67" spans="1:29" ht="15.5" x14ac:dyDescent="0.35">
      <c r="A67" s="193">
        <v>23</v>
      </c>
      <c r="B67" s="194">
        <f t="shared" si="6"/>
        <v>15762.33103691625</v>
      </c>
      <c r="C67" s="209">
        <f t="shared" si="7"/>
        <v>0.10894997920399813</v>
      </c>
      <c r="D67" s="196">
        <f t="shared" si="1"/>
        <v>1717.3056386785597</v>
      </c>
      <c r="E67" s="197"/>
      <c r="F67" s="198"/>
      <c r="G67" s="199" t="s">
        <v>4</v>
      </c>
      <c r="H67" s="199"/>
      <c r="I67" s="199"/>
      <c r="J67" s="200">
        <f t="shared" si="14"/>
        <v>100</v>
      </c>
      <c r="K67" s="201">
        <f t="shared" si="9"/>
        <v>100</v>
      </c>
      <c r="L67" s="202">
        <f t="shared" si="10"/>
        <v>2.4894317195018428E-2</v>
      </c>
      <c r="M67" s="203">
        <f t="shared" si="3"/>
        <v>39.239246856587684</v>
      </c>
      <c r="N67" s="204">
        <f t="shared" si="4"/>
        <v>1584.8143216672916</v>
      </c>
      <c r="O67" s="319">
        <f t="shared" si="11"/>
        <v>1484.8143216672916</v>
      </c>
      <c r="P67" s="206">
        <f t="shared" si="5"/>
        <v>15297.212638291923</v>
      </c>
      <c r="Q67" s="210">
        <f>NPV($F$36,O44:O67)</f>
        <v>15297.212638291923</v>
      </c>
      <c r="R67" s="193">
        <f t="shared" si="0"/>
        <v>0</v>
      </c>
      <c r="S67" s="208"/>
      <c r="T67" s="150"/>
      <c r="U67" s="145"/>
      <c r="V67" s="145"/>
      <c r="W67" s="145"/>
      <c r="X67" s="145"/>
      <c r="Y67" s="145"/>
      <c r="Z67" s="145"/>
      <c r="AA67" s="145"/>
      <c r="AB67" s="145"/>
      <c r="AC67" s="145"/>
    </row>
    <row r="68" spans="1:29" ht="15.5" x14ac:dyDescent="0.35">
      <c r="A68" s="193">
        <v>24</v>
      </c>
      <c r="B68" s="194">
        <f t="shared" si="6"/>
        <v>15683.519381731669</v>
      </c>
      <c r="C68" s="209">
        <f t="shared" si="7"/>
        <v>0.11003947899603811</v>
      </c>
      <c r="D68" s="196">
        <f t="shared" si="1"/>
        <v>1725.8063015900186</v>
      </c>
      <c r="E68" s="197"/>
      <c r="F68" s="198"/>
      <c r="G68" s="199" t="s">
        <v>4</v>
      </c>
      <c r="H68" s="199"/>
      <c r="I68" s="199"/>
      <c r="J68" s="200">
        <f t="shared" si="14"/>
        <v>100</v>
      </c>
      <c r="K68" s="201">
        <f t="shared" si="9"/>
        <v>100</v>
      </c>
      <c r="L68" s="202">
        <f t="shared" si="10"/>
        <v>2.5143260366968612E-2</v>
      </c>
      <c r="M68" s="203">
        <f t="shared" si="3"/>
        <v>39.433481128527795</v>
      </c>
      <c r="N68" s="204">
        <f t="shared" si="4"/>
        <v>1592.6591525595445</v>
      </c>
      <c r="O68" s="319">
        <f t="shared" si="11"/>
        <v>1492.6591525595445</v>
      </c>
      <c r="P68" s="206">
        <f t="shared" si="5"/>
        <v>16789.871790851466</v>
      </c>
      <c r="Q68" s="210">
        <f>NPV($F$36,O44:O68)</f>
        <v>16789.871790851466</v>
      </c>
      <c r="R68" s="193">
        <f t="shared" si="0"/>
        <v>0</v>
      </c>
      <c r="S68" s="208"/>
      <c r="T68" s="150"/>
      <c r="U68" s="145"/>
      <c r="V68" s="145"/>
      <c r="W68" s="145"/>
      <c r="X68" s="145"/>
      <c r="Y68" s="145"/>
      <c r="Z68" s="145"/>
      <c r="AA68" s="145"/>
      <c r="AB68" s="145"/>
      <c r="AC68" s="145"/>
    </row>
    <row r="69" spans="1:29" ht="15.5" x14ac:dyDescent="0.35">
      <c r="A69" s="193">
        <v>25</v>
      </c>
      <c r="B69" s="194">
        <f t="shared" si="6"/>
        <v>15605.101784823009</v>
      </c>
      <c r="C69" s="209">
        <f t="shared" si="7"/>
        <v>0.11113987378599849</v>
      </c>
      <c r="D69" s="196">
        <f t="shared" si="1"/>
        <v>1734.349042782889</v>
      </c>
      <c r="E69" s="197"/>
      <c r="F69" s="198"/>
      <c r="G69" s="199" t="s">
        <v>4</v>
      </c>
      <c r="H69" s="199"/>
      <c r="I69" s="199"/>
      <c r="J69" s="200">
        <f t="shared" si="14"/>
        <v>100</v>
      </c>
      <c r="K69" s="201">
        <f t="shared" si="9"/>
        <v>100</v>
      </c>
      <c r="L69" s="202">
        <f t="shared" si="10"/>
        <v>2.5394692970638299E-2</v>
      </c>
      <c r="M69" s="203">
        <f t="shared" si="3"/>
        <v>39.628676860114005</v>
      </c>
      <c r="N69" s="204">
        <f t="shared" si="4"/>
        <v>1600.542815364714</v>
      </c>
      <c r="O69" s="319">
        <f t="shared" si="11"/>
        <v>1500.542815364714</v>
      </c>
      <c r="P69" s="206">
        <f t="shared" si="5"/>
        <v>18290.414606216182</v>
      </c>
      <c r="Q69" s="210">
        <f>NPV($F$36,O44:O69)</f>
        <v>18290.414606216182</v>
      </c>
      <c r="R69" s="193">
        <f t="shared" si="0"/>
        <v>0</v>
      </c>
      <c r="S69" s="208"/>
      <c r="T69" s="150"/>
      <c r="U69" s="145"/>
      <c r="V69" s="145"/>
      <c r="W69" s="145"/>
      <c r="X69" s="145"/>
      <c r="Y69" s="145"/>
      <c r="Z69" s="145"/>
      <c r="AA69" s="145"/>
      <c r="AB69" s="145"/>
      <c r="AC69" s="145"/>
    </row>
    <row r="70" spans="1:29" ht="15.5" x14ac:dyDescent="0.35">
      <c r="A70" s="193">
        <v>26</v>
      </c>
      <c r="B70" s="194">
        <f t="shared" si="6"/>
        <v>15527.076275898895</v>
      </c>
      <c r="C70" s="209">
        <f t="shared" si="7"/>
        <v>0.11225127252385847</v>
      </c>
      <c r="D70" s="196">
        <f t="shared" si="1"/>
        <v>1742.9340705446643</v>
      </c>
      <c r="E70" s="197"/>
      <c r="F70" s="198"/>
      <c r="G70" s="199" t="s">
        <v>4</v>
      </c>
      <c r="H70" s="199"/>
      <c r="I70" s="199"/>
      <c r="J70" s="200">
        <f t="shared" si="14"/>
        <v>100</v>
      </c>
      <c r="K70" s="201">
        <f t="shared" si="9"/>
        <v>100</v>
      </c>
      <c r="L70" s="202">
        <f t="shared" si="10"/>
        <v>2.5648639900344682E-2</v>
      </c>
      <c r="M70" s="203">
        <f t="shared" si="3"/>
        <v>39.82483881057157</v>
      </c>
      <c r="N70" s="204">
        <f t="shared" si="4"/>
        <v>1608.4655023007695</v>
      </c>
      <c r="O70" s="319">
        <f t="shared" si="11"/>
        <v>1508.4655023007695</v>
      </c>
      <c r="P70" s="206">
        <f t="shared" si="5"/>
        <v>19798.880108516951</v>
      </c>
      <c r="Q70" s="210">
        <f>NPV($F$36,O44:O70)</f>
        <v>19798.880108516951</v>
      </c>
      <c r="R70" s="193">
        <f t="shared" si="0"/>
        <v>0</v>
      </c>
      <c r="S70" s="208"/>
      <c r="T70" s="150"/>
      <c r="U70" s="145"/>
      <c r="V70" s="145"/>
      <c r="W70" s="145"/>
      <c r="X70" s="145"/>
      <c r="Y70" s="145"/>
      <c r="Z70" s="145"/>
      <c r="AA70" s="145"/>
      <c r="AB70" s="145"/>
      <c r="AC70" s="145"/>
    </row>
    <row r="71" spans="1:29" ht="15.5" x14ac:dyDescent="0.35">
      <c r="A71" s="193">
        <v>27</v>
      </c>
      <c r="B71" s="194">
        <f t="shared" si="6"/>
        <v>15449.440894519401</v>
      </c>
      <c r="C71" s="209">
        <f t="shared" si="7"/>
        <v>0.11337378524909705</v>
      </c>
      <c r="D71" s="196">
        <f t="shared" si="1"/>
        <v>1751.5615941938604</v>
      </c>
      <c r="E71" s="197"/>
      <c r="F71" s="198"/>
      <c r="G71" s="199" t="s">
        <v>4</v>
      </c>
      <c r="H71" s="199"/>
      <c r="I71" s="199"/>
      <c r="J71" s="200">
        <f t="shared" si="14"/>
        <v>100</v>
      </c>
      <c r="K71" s="201">
        <f t="shared" si="9"/>
        <v>100</v>
      </c>
      <c r="L71" s="202">
        <f t="shared" si="10"/>
        <v>2.590512629934813E-2</v>
      </c>
      <c r="M71" s="203">
        <f t="shared" si="3"/>
        <v>40.021971762683911</v>
      </c>
      <c r="N71" s="204">
        <f t="shared" si="4"/>
        <v>1616.4274065371583</v>
      </c>
      <c r="O71" s="319">
        <f t="shared" si="11"/>
        <v>1516.4274065371583</v>
      </c>
      <c r="P71" s="206">
        <f t="shared" si="5"/>
        <v>21315.307515054108</v>
      </c>
      <c r="Q71" s="210">
        <f>NPV($F$36,O44:O71)</f>
        <v>21315.307515054108</v>
      </c>
      <c r="R71" s="193">
        <f t="shared" si="0"/>
        <v>0</v>
      </c>
      <c r="S71" s="208"/>
      <c r="T71" s="150"/>
      <c r="U71" s="145"/>
      <c r="V71" s="145"/>
      <c r="W71" s="145"/>
      <c r="X71" s="145"/>
      <c r="Y71" s="145"/>
      <c r="Z71" s="145"/>
      <c r="AA71" s="145"/>
      <c r="AB71" s="145"/>
      <c r="AC71" s="145"/>
    </row>
    <row r="72" spans="1:29" ht="15.5" x14ac:dyDescent="0.35">
      <c r="A72" s="193">
        <v>28</v>
      </c>
      <c r="B72" s="194">
        <f t="shared" si="6"/>
        <v>15372.193690046804</v>
      </c>
      <c r="C72" s="209">
        <f t="shared" si="7"/>
        <v>0.11450752310158803</v>
      </c>
      <c r="D72" s="196">
        <f t="shared" si="1"/>
        <v>1760.2318240851203</v>
      </c>
      <c r="E72" s="197"/>
      <c r="F72" s="198"/>
      <c r="G72" s="199" t="s">
        <v>4</v>
      </c>
      <c r="H72" s="199"/>
      <c r="I72" s="199"/>
      <c r="J72" s="200">
        <f t="shared" si="14"/>
        <v>100</v>
      </c>
      <c r="K72" s="201">
        <f t="shared" si="9"/>
        <v>100</v>
      </c>
      <c r="L72" s="202">
        <f t="shared" si="10"/>
        <v>2.6164177562341611E-2</v>
      </c>
      <c r="M72" s="203">
        <f t="shared" si="3"/>
        <v>40.220080522909193</v>
      </c>
      <c r="N72" s="204">
        <f t="shared" si="4"/>
        <v>1624.4287221995176</v>
      </c>
      <c r="O72" s="319">
        <f t="shared" si="11"/>
        <v>1524.4287221995176</v>
      </c>
      <c r="P72" s="206">
        <f t="shared" si="5"/>
        <v>22839.736237253626</v>
      </c>
      <c r="Q72" s="210">
        <f>NPV($F$36,O44:O72)</f>
        <v>22839.736237253626</v>
      </c>
      <c r="R72" s="211">
        <f t="shared" si="0"/>
        <v>0</v>
      </c>
      <c r="S72" s="208"/>
      <c r="T72" s="150"/>
      <c r="U72" s="145"/>
      <c r="V72" s="145"/>
      <c r="W72" s="145"/>
      <c r="X72" s="145"/>
      <c r="Y72" s="145"/>
      <c r="Z72" s="145"/>
      <c r="AA72" s="145"/>
      <c r="AB72" s="145"/>
      <c r="AC72" s="145"/>
    </row>
    <row r="73" spans="1:29" ht="15.5" x14ac:dyDescent="0.35">
      <c r="A73" s="193">
        <v>29</v>
      </c>
      <c r="B73" s="212">
        <f t="shared" si="6"/>
        <v>15295.332721596571</v>
      </c>
      <c r="C73" s="213">
        <f t="shared" si="7"/>
        <v>0.11565259833260391</v>
      </c>
      <c r="D73" s="214">
        <f t="shared" si="1"/>
        <v>1768.9449716143417</v>
      </c>
      <c r="E73" s="215"/>
      <c r="F73" s="216"/>
      <c r="G73" s="217" t="s">
        <v>4</v>
      </c>
      <c r="H73" s="217"/>
      <c r="I73" s="217"/>
      <c r="J73" s="218">
        <f t="shared" si="14"/>
        <v>100</v>
      </c>
      <c r="K73" s="201">
        <f t="shared" si="9"/>
        <v>100</v>
      </c>
      <c r="L73" s="219">
        <f t="shared" si="10"/>
        <v>2.6425819337965027E-2</v>
      </c>
      <c r="M73" s="220">
        <f t="shared" si="3"/>
        <v>40.419169921497591</v>
      </c>
      <c r="N73" s="221">
        <f t="shared" si="4"/>
        <v>1632.4696443744051</v>
      </c>
      <c r="O73" s="319">
        <f t="shared" si="11"/>
        <v>1532.4696443744051</v>
      </c>
      <c r="P73" s="222">
        <f t="shared" si="5"/>
        <v>24372.205881628033</v>
      </c>
      <c r="Q73" s="210">
        <f>NPV($F$36,O44:O73)</f>
        <v>24372.205881628033</v>
      </c>
      <c r="R73" s="223">
        <f t="shared" si="0"/>
        <v>0</v>
      </c>
      <c r="S73" s="224"/>
      <c r="T73" s="225"/>
      <c r="U73" s="226"/>
      <c r="V73" s="226"/>
      <c r="W73" s="226"/>
      <c r="X73" s="226"/>
      <c r="Y73" s="226"/>
      <c r="Z73" s="226"/>
      <c r="AA73" s="226"/>
      <c r="AB73" s="226"/>
      <c r="AC73" s="226"/>
    </row>
    <row r="74" spans="1:29" ht="15.5" x14ac:dyDescent="0.35">
      <c r="A74" s="193">
        <v>30</v>
      </c>
      <c r="B74" s="212">
        <f t="shared" si="6"/>
        <v>15218.856057988589</v>
      </c>
      <c r="C74" s="213">
        <f t="shared" si="7"/>
        <v>0.11680912431592995</v>
      </c>
      <c r="D74" s="214">
        <f t="shared" si="1"/>
        <v>1777.7012492238327</v>
      </c>
      <c r="E74" s="215"/>
      <c r="F74" s="216"/>
      <c r="G74" s="217" t="s">
        <v>4</v>
      </c>
      <c r="H74" s="217"/>
      <c r="I74" s="217"/>
      <c r="J74" s="218">
        <f t="shared" si="14"/>
        <v>100</v>
      </c>
      <c r="K74" s="201">
        <f t="shared" si="9"/>
        <v>100</v>
      </c>
      <c r="L74" s="219">
        <f t="shared" si="10"/>
        <v>2.6690077531344676E-2</v>
      </c>
      <c r="M74" s="220">
        <f t="shared" si="3"/>
        <v>40.619244812609004</v>
      </c>
      <c r="N74" s="221">
        <f t="shared" si="4"/>
        <v>1640.5503691140584</v>
      </c>
      <c r="O74" s="319">
        <f t="shared" si="11"/>
        <v>1540.5503691140584</v>
      </c>
      <c r="P74" s="222">
        <f t="shared" si="5"/>
        <v>25912.756250742092</v>
      </c>
      <c r="Q74" s="210">
        <f>NPV($F$36,O44:O74)</f>
        <v>25912.756250742092</v>
      </c>
      <c r="R74" s="223">
        <f t="shared" si="0"/>
        <v>0</v>
      </c>
      <c r="S74" s="224"/>
      <c r="T74" s="225"/>
      <c r="U74" s="226"/>
      <c r="V74" s="226"/>
      <c r="W74" s="226"/>
      <c r="X74" s="226"/>
      <c r="Y74" s="226"/>
      <c r="Z74" s="226"/>
      <c r="AA74" s="226"/>
      <c r="AB74" s="226"/>
      <c r="AC74" s="226"/>
    </row>
    <row r="75" spans="1:29" ht="15.5" x14ac:dyDescent="0.35">
      <c r="A75" s="227" t="s">
        <v>34</v>
      </c>
      <c r="B75" s="228">
        <f>SUM(B44:B74)</f>
        <v>491447.64446026925</v>
      </c>
      <c r="C75" s="229"/>
      <c r="D75" s="230">
        <f>SUM(D44:D74)</f>
        <v>49691.48897121031</v>
      </c>
      <c r="E75" s="231"/>
      <c r="F75" s="231"/>
      <c r="G75" s="232">
        <f>SUM(G44:G74)</f>
        <v>225</v>
      </c>
      <c r="H75" s="232"/>
      <c r="I75" s="232"/>
      <c r="J75" s="233">
        <f>SUM(J44:J74)</f>
        <v>4520</v>
      </c>
      <c r="K75" s="232">
        <f>SUM(K44:K74)</f>
        <v>19945</v>
      </c>
      <c r="L75" s="229"/>
      <c r="M75" s="232">
        <f>SUM(M44:M74)</f>
        <v>1135.4161766528118</v>
      </c>
      <c r="N75" s="233">
        <f>SUM(N44:N74)</f>
        <v>45857.756250742081</v>
      </c>
      <c r="O75" s="234"/>
      <c r="P75" s="235"/>
      <c r="Q75" s="236"/>
      <c r="R75" s="237">
        <f>SUM(R44:R73)</f>
        <v>11</v>
      </c>
      <c r="S75" s="225"/>
      <c r="T75" s="225"/>
      <c r="U75" s="226"/>
      <c r="V75" s="226"/>
      <c r="W75" s="226"/>
      <c r="X75" s="226"/>
      <c r="Y75" s="226"/>
      <c r="Z75" s="226"/>
      <c r="AA75" s="226"/>
      <c r="AB75" s="226"/>
      <c r="AC75" s="226"/>
    </row>
    <row r="76" spans="1:29" ht="15.5" x14ac:dyDescent="0.35">
      <c r="A76" s="145"/>
      <c r="B76" s="145"/>
      <c r="C76" s="145"/>
      <c r="D76" s="145"/>
      <c r="E76" s="145"/>
      <c r="F76" s="145"/>
      <c r="G76" s="145"/>
      <c r="H76" s="145"/>
      <c r="I76" s="145"/>
      <c r="J76" s="145"/>
      <c r="K76" s="145"/>
      <c r="L76" s="145"/>
      <c r="M76" s="238"/>
      <c r="N76" s="145"/>
      <c r="O76" s="145"/>
      <c r="P76" s="145"/>
      <c r="Q76" s="145"/>
      <c r="R76" s="145"/>
      <c r="S76" s="145"/>
      <c r="T76" s="145"/>
      <c r="U76" s="145"/>
      <c r="V76" s="145"/>
      <c r="W76" s="145"/>
      <c r="X76" s="145"/>
      <c r="Y76" s="145"/>
      <c r="Z76" s="145"/>
    </row>
    <row r="77" spans="1:29" ht="16" thickBot="1" x14ac:dyDescent="0.4">
      <c r="A77" s="239"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5" x14ac:dyDescent="0.35">
      <c r="A78" s="404" t="s">
        <v>200</v>
      </c>
      <c r="B78" s="405"/>
      <c r="C78" s="405"/>
      <c r="D78" s="406"/>
      <c r="E78" s="240">
        <f>Q74</f>
        <v>25912.756250742092</v>
      </c>
      <c r="F78" s="241" t="s">
        <v>15</v>
      </c>
      <c r="G78" s="145"/>
      <c r="H78" s="145"/>
      <c r="I78" s="145"/>
      <c r="J78" s="145"/>
      <c r="K78" s="145"/>
      <c r="L78" s="145"/>
      <c r="M78" s="145"/>
      <c r="N78" s="145"/>
      <c r="O78" s="145"/>
      <c r="P78" s="145"/>
      <c r="Q78" s="145"/>
      <c r="R78" s="145"/>
      <c r="S78" s="145"/>
      <c r="T78" s="145"/>
      <c r="U78" s="145"/>
      <c r="V78" s="145"/>
      <c r="W78" s="145"/>
      <c r="X78" s="145"/>
      <c r="Y78" s="145"/>
      <c r="Z78" s="145"/>
    </row>
    <row r="79" spans="1:29" ht="15.5" x14ac:dyDescent="0.35">
      <c r="A79" s="407" t="s">
        <v>36</v>
      </c>
      <c r="B79" s="408"/>
      <c r="C79" s="408"/>
      <c r="D79" s="409"/>
      <c r="E79" s="242">
        <f>R75</f>
        <v>11</v>
      </c>
      <c r="F79" s="241"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35">
      <c r="A80" s="410" t="s">
        <v>38</v>
      </c>
      <c r="B80" s="410"/>
      <c r="C80" s="410"/>
      <c r="D80" s="410"/>
      <c r="E80" s="243">
        <f>IRR(O44:O74,0.1)</f>
        <v>8.6049165378068837E-2</v>
      </c>
      <c r="F80" s="244"/>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35">
      <c r="A81" s="239" t="s">
        <v>39</v>
      </c>
      <c r="B81" s="245"/>
      <c r="C81" s="245"/>
      <c r="D81" s="246"/>
      <c r="E81" s="247"/>
      <c r="F81" s="244"/>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35">
      <c r="A82" s="411" t="s">
        <v>40</v>
      </c>
      <c r="B82" s="395"/>
      <c r="C82" s="395"/>
      <c r="D82" s="396"/>
      <c r="E82" s="248">
        <f>K75*100/B75</f>
        <v>4.058418068501382</v>
      </c>
      <c r="F82" s="249"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35">
      <c r="A83" s="397" t="s">
        <v>41</v>
      </c>
      <c r="B83" s="395"/>
      <c r="C83" s="395"/>
      <c r="D83" s="396"/>
      <c r="E83" s="250">
        <f>AVERAGE(C44:C74)*100</f>
        <v>10.149071853029742</v>
      </c>
      <c r="F83" s="251" t="s">
        <v>42</v>
      </c>
      <c r="G83" s="145"/>
      <c r="H83" s="145"/>
      <c r="I83" s="145"/>
      <c r="J83" s="145"/>
      <c r="K83" s="145"/>
      <c r="L83" s="145"/>
      <c r="M83" s="145"/>
      <c r="N83" s="145"/>
      <c r="O83" s="145"/>
      <c r="P83" s="145"/>
      <c r="Q83" s="145"/>
      <c r="R83" s="145"/>
      <c r="S83" s="145"/>
      <c r="T83" s="145"/>
      <c r="U83" s="145"/>
      <c r="V83" s="145"/>
      <c r="W83" s="145"/>
      <c r="X83" s="145"/>
      <c r="Y83" s="145"/>
      <c r="Z83" s="145"/>
    </row>
    <row r="84" spans="1:26" ht="15.5" x14ac:dyDescent="0.3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5" x14ac:dyDescent="0.35">
      <c r="A85" s="158"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5" x14ac:dyDescent="0.35">
      <c r="A86" s="252" t="s">
        <v>91</v>
      </c>
      <c r="B86" s="253"/>
      <c r="C86" s="253"/>
      <c r="D86" s="253"/>
      <c r="E86" s="253"/>
      <c r="F86" s="253"/>
      <c r="G86" s="253"/>
      <c r="H86" s="253"/>
      <c r="I86" s="253"/>
      <c r="J86" s="145"/>
      <c r="K86" s="145"/>
      <c r="L86" s="145"/>
      <c r="M86" s="145"/>
      <c r="N86" s="145"/>
      <c r="O86" s="145"/>
      <c r="P86" s="145"/>
      <c r="Q86" s="145"/>
      <c r="R86" s="145"/>
      <c r="S86" s="145"/>
      <c r="T86" s="145"/>
      <c r="U86" s="145"/>
      <c r="V86" s="145"/>
      <c r="W86" s="145"/>
      <c r="X86" s="145"/>
      <c r="Y86" s="145"/>
      <c r="Z86" s="145"/>
    </row>
    <row r="87" spans="1:26" ht="15.5" x14ac:dyDescent="0.35">
      <c r="A87" s="398" t="s">
        <v>92</v>
      </c>
      <c r="B87" s="398"/>
      <c r="C87" s="398"/>
      <c r="D87" s="254">
        <v>84</v>
      </c>
      <c r="E87" s="253" t="s">
        <v>93</v>
      </c>
      <c r="F87" s="253" t="s">
        <v>4</v>
      </c>
      <c r="G87" s="253" t="s">
        <v>6</v>
      </c>
      <c r="H87" s="100">
        <v>2024</v>
      </c>
      <c r="I87" s="10" t="s">
        <v>270</v>
      </c>
      <c r="J87" s="145"/>
      <c r="K87" s="145"/>
      <c r="L87" s="145"/>
      <c r="M87" s="145"/>
      <c r="N87" s="145"/>
      <c r="O87" s="145"/>
      <c r="P87" s="145"/>
      <c r="Q87" s="145"/>
      <c r="R87" s="145"/>
      <c r="S87" s="145"/>
      <c r="T87" s="145"/>
      <c r="U87" s="145"/>
      <c r="V87" s="145"/>
      <c r="W87" s="145"/>
      <c r="X87" s="145"/>
      <c r="Y87" s="145"/>
      <c r="Z87" s="145"/>
    </row>
    <row r="88" spans="1:26" ht="15.5" x14ac:dyDescent="0.35">
      <c r="A88" s="398" t="s">
        <v>95</v>
      </c>
      <c r="B88" s="398"/>
      <c r="C88" s="398"/>
      <c r="D88" s="254">
        <v>106</v>
      </c>
      <c r="E88" s="253" t="s">
        <v>93</v>
      </c>
      <c r="F88" s="253"/>
      <c r="G88" s="253" t="s">
        <v>6</v>
      </c>
      <c r="H88" s="100">
        <v>2024</v>
      </c>
      <c r="I88" s="10" t="s">
        <v>270</v>
      </c>
      <c r="J88" s="145"/>
      <c r="K88" s="145"/>
      <c r="L88" s="145"/>
      <c r="M88" s="145"/>
      <c r="N88" s="145"/>
      <c r="O88" s="145"/>
      <c r="P88" s="145"/>
      <c r="Q88" s="145"/>
      <c r="R88" s="145"/>
      <c r="S88" s="145"/>
      <c r="T88" s="145"/>
      <c r="U88" s="145"/>
      <c r="V88" s="145"/>
      <c r="W88" s="145"/>
      <c r="X88" s="145"/>
      <c r="Y88" s="145"/>
      <c r="Z88" s="145"/>
    </row>
    <row r="89" spans="1:26" ht="15.5" x14ac:dyDescent="0.35">
      <c r="A89" s="398" t="s">
        <v>96</v>
      </c>
      <c r="B89" s="398"/>
      <c r="C89" s="398"/>
      <c r="D89" s="255">
        <v>261.72000000000003</v>
      </c>
      <c r="E89" s="253" t="s">
        <v>93</v>
      </c>
      <c r="F89" s="253"/>
      <c r="G89" s="253" t="s">
        <v>6</v>
      </c>
      <c r="H89" s="253">
        <v>2019</v>
      </c>
      <c r="I89" s="10" t="s">
        <v>94</v>
      </c>
      <c r="J89" s="145"/>
      <c r="K89" s="145"/>
      <c r="L89" s="145"/>
      <c r="M89" s="145"/>
      <c r="N89" s="145"/>
      <c r="O89" s="145"/>
      <c r="P89" s="145"/>
      <c r="Q89" s="145"/>
      <c r="R89" s="145"/>
      <c r="S89" s="145"/>
      <c r="T89" s="145"/>
      <c r="U89" s="145"/>
      <c r="V89" s="145"/>
      <c r="W89" s="145"/>
      <c r="X89" s="145"/>
      <c r="Y89" s="145"/>
      <c r="Z89" s="145"/>
    </row>
    <row r="90" spans="1:26" ht="15.5" x14ac:dyDescent="0.35">
      <c r="A90" s="398" t="s">
        <v>97</v>
      </c>
      <c r="B90" s="398"/>
      <c r="C90" s="398"/>
      <c r="D90" s="255">
        <f>(F21*D87)/1000</f>
        <v>1478.4</v>
      </c>
      <c r="E90" s="253" t="s">
        <v>98</v>
      </c>
      <c r="F90" s="253" t="s">
        <v>4</v>
      </c>
      <c r="G90" s="253"/>
      <c r="H90" s="253"/>
      <c r="I90" s="253"/>
      <c r="J90" s="145"/>
      <c r="K90" s="145"/>
      <c r="L90" s="145"/>
      <c r="M90" s="145"/>
      <c r="N90" s="145"/>
      <c r="O90" s="145"/>
      <c r="P90" s="145"/>
      <c r="Q90" s="145"/>
      <c r="R90" s="145"/>
      <c r="S90" s="145"/>
      <c r="T90" s="145"/>
      <c r="U90" s="145"/>
      <c r="V90" s="145"/>
      <c r="W90" s="145"/>
      <c r="X90" s="145"/>
      <c r="Y90" s="145"/>
      <c r="Z90" s="145"/>
    </row>
    <row r="91" spans="1:26" ht="15.5" x14ac:dyDescent="0.35">
      <c r="A91" s="398" t="s">
        <v>120</v>
      </c>
      <c r="B91" s="398"/>
      <c r="C91" s="398"/>
      <c r="D91" s="255">
        <f>(F21*D87)/1000-0</f>
        <v>1478.4</v>
      </c>
      <c r="E91" s="253" t="s">
        <v>98</v>
      </c>
      <c r="F91" s="253"/>
      <c r="G91" s="253" t="s">
        <v>271</v>
      </c>
      <c r="H91" s="253"/>
      <c r="I91" s="10" t="s">
        <v>272</v>
      </c>
      <c r="J91" s="145"/>
      <c r="K91" s="145"/>
      <c r="L91" s="145"/>
      <c r="M91" s="145"/>
      <c r="N91" s="145"/>
      <c r="O91" s="145"/>
      <c r="P91" s="145"/>
      <c r="Q91" s="145"/>
      <c r="R91" s="145"/>
      <c r="S91" s="145"/>
      <c r="T91" s="145"/>
      <c r="U91" s="145"/>
      <c r="V91" s="145"/>
      <c r="W91" s="145"/>
      <c r="X91" s="145"/>
      <c r="Y91" s="145"/>
      <c r="Z91" s="145"/>
    </row>
    <row r="92" spans="1:26" ht="15.5" x14ac:dyDescent="0.35">
      <c r="A92" s="256" t="s">
        <v>4</v>
      </c>
      <c r="B92" s="226"/>
      <c r="C92" s="226"/>
      <c r="D92" s="226"/>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5" x14ac:dyDescent="0.35">
      <c r="A93" s="239"/>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5" x14ac:dyDescent="0.35">
      <c r="A94" s="148" t="s">
        <v>201</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5" x14ac:dyDescent="0.35">
      <c r="A95" s="399" t="s">
        <v>11</v>
      </c>
      <c r="B95" s="395"/>
      <c r="C95" s="396"/>
      <c r="D95" s="257">
        <v>20000</v>
      </c>
      <c r="E95" s="156" t="s">
        <v>202</v>
      </c>
      <c r="F95" s="145" t="s">
        <v>203</v>
      </c>
      <c r="G95" s="145"/>
      <c r="H95" s="145"/>
      <c r="I95" s="145"/>
      <c r="J95" s="145"/>
      <c r="K95" s="145"/>
      <c r="L95" s="145"/>
      <c r="M95" s="145"/>
      <c r="N95" s="145"/>
      <c r="O95" s="145"/>
      <c r="P95" s="145"/>
      <c r="Q95" s="145"/>
      <c r="R95" s="145"/>
      <c r="S95" s="145"/>
      <c r="T95" s="145"/>
      <c r="U95" s="145"/>
      <c r="V95" s="145"/>
      <c r="W95" s="145"/>
      <c r="X95" s="145"/>
      <c r="Y95" s="145"/>
      <c r="Z95" s="145"/>
    </row>
    <row r="96" spans="1:26" ht="15.5" x14ac:dyDescent="0.35">
      <c r="A96" s="399" t="s">
        <v>204</v>
      </c>
      <c r="B96" s="395"/>
      <c r="C96" s="396"/>
      <c r="D96" s="162">
        <v>0.13</v>
      </c>
      <c r="E96" s="156"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5" x14ac:dyDescent="0.35">
      <c r="A97" s="399" t="s">
        <v>205</v>
      </c>
      <c r="B97" s="395"/>
      <c r="C97" s="396"/>
      <c r="D97" s="162">
        <v>0.4</v>
      </c>
      <c r="E97" s="145" t="s">
        <v>8</v>
      </c>
      <c r="F97" s="145" t="s">
        <v>206</v>
      </c>
      <c r="G97" s="145"/>
      <c r="H97" s="145"/>
      <c r="I97" s="145"/>
      <c r="J97" s="145"/>
      <c r="K97" s="145"/>
      <c r="L97" s="145"/>
      <c r="M97" s="145"/>
      <c r="N97" s="145"/>
      <c r="O97" s="145"/>
      <c r="P97" s="145"/>
      <c r="Q97" s="145"/>
      <c r="R97" s="145"/>
      <c r="S97" s="145"/>
      <c r="T97" s="145"/>
      <c r="U97" s="145"/>
      <c r="V97" s="145"/>
      <c r="W97" s="145"/>
      <c r="X97" s="145"/>
      <c r="Y97" s="145"/>
      <c r="Z97" s="145"/>
    </row>
    <row r="98" spans="1:26" ht="15.5" x14ac:dyDescent="0.35">
      <c r="A98" s="400" t="s">
        <v>207</v>
      </c>
      <c r="B98" s="395"/>
      <c r="C98" s="396"/>
      <c r="D98" s="193">
        <f>D95/250*1.7</f>
        <v>136</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5" x14ac:dyDescent="0.35">
      <c r="A99" s="175"/>
      <c r="B99" s="176"/>
      <c r="C99" s="176"/>
      <c r="D99" s="177"/>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5" x14ac:dyDescent="0.3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84" x14ac:dyDescent="0.35">
      <c r="A101" s="258" t="s">
        <v>208</v>
      </c>
      <c r="B101" s="259" t="s">
        <v>209</v>
      </c>
      <c r="C101" s="259" t="s">
        <v>210</v>
      </c>
      <c r="D101" s="259" t="s">
        <v>211</v>
      </c>
      <c r="E101" s="259" t="s">
        <v>212</v>
      </c>
      <c r="F101" s="259" t="s">
        <v>213</v>
      </c>
      <c r="G101" s="260" t="s">
        <v>214</v>
      </c>
      <c r="H101" s="259" t="s">
        <v>215</v>
      </c>
      <c r="I101" s="259" t="s">
        <v>216</v>
      </c>
      <c r="J101" s="259" t="s">
        <v>217</v>
      </c>
      <c r="K101" s="259" t="s">
        <v>218</v>
      </c>
      <c r="L101" s="259" t="s">
        <v>219</v>
      </c>
      <c r="M101" s="150"/>
      <c r="N101" s="145"/>
      <c r="O101" s="145"/>
      <c r="P101" s="145"/>
      <c r="Q101" s="145"/>
      <c r="R101" s="145"/>
      <c r="S101" s="145"/>
      <c r="T101" s="145"/>
      <c r="U101" s="145"/>
      <c r="V101" s="145"/>
      <c r="W101" s="145"/>
      <c r="X101" s="145"/>
      <c r="Y101" s="145"/>
      <c r="Z101" s="145"/>
    </row>
    <row r="102" spans="1:26" ht="15.5" x14ac:dyDescent="0.35">
      <c r="A102" s="261" t="s">
        <v>62</v>
      </c>
      <c r="B102" s="193">
        <v>31</v>
      </c>
      <c r="C102" s="262">
        <f>0.09*F16</f>
        <v>8460</v>
      </c>
      <c r="D102" s="263">
        <v>0.32</v>
      </c>
      <c r="E102" s="151">
        <f>($F$14*10)</f>
        <v>87.53</v>
      </c>
      <c r="F102" s="151">
        <f>$F$24*10</f>
        <v>20</v>
      </c>
      <c r="G102" s="264">
        <f t="shared" ref="G102:G113" si="15">D102*B102*$D$98*$D$96</f>
        <v>175.38559999999998</v>
      </c>
      <c r="H102" s="265">
        <f t="shared" ref="H102:H113" si="16">IF(C102*$D$97-G102&gt;0, G102,$D$97*C102)</f>
        <v>175.38559999999998</v>
      </c>
      <c r="I102" s="265">
        <f t="shared" ref="I102:I113" si="17">G102-H102</f>
        <v>0</v>
      </c>
      <c r="J102" s="265">
        <f t="shared" ref="J102:J113" si="18">C102-H102</f>
        <v>8284.6144000000004</v>
      </c>
      <c r="K102" s="209">
        <f t="shared" ref="K102:K113" si="19">G102*E102/1000</f>
        <v>15.351501567999998</v>
      </c>
      <c r="L102" s="209">
        <f t="shared" ref="L102:L113" si="20">I102*F102/1000</f>
        <v>0</v>
      </c>
      <c r="M102" s="150"/>
      <c r="N102" s="145"/>
      <c r="O102" s="145"/>
      <c r="P102" s="145"/>
      <c r="Q102" s="145"/>
      <c r="R102" s="145"/>
      <c r="S102" s="145"/>
      <c r="T102" s="145"/>
      <c r="U102" s="145"/>
      <c r="V102" s="145"/>
      <c r="W102" s="145"/>
      <c r="X102" s="145"/>
      <c r="Y102" s="145"/>
      <c r="Z102" s="145"/>
    </row>
    <row r="103" spans="1:26" ht="15.5" x14ac:dyDescent="0.35">
      <c r="A103" s="261" t="s">
        <v>63</v>
      </c>
      <c r="B103" s="193">
        <v>28</v>
      </c>
      <c r="C103" s="262">
        <f>0.09*F16</f>
        <v>8460</v>
      </c>
      <c r="D103" s="263">
        <v>1.1000000000000001</v>
      </c>
      <c r="E103" s="151">
        <f t="shared" ref="E103:E113" si="21">($F$14*10)</f>
        <v>87.53</v>
      </c>
      <c r="F103" s="151">
        <f t="shared" ref="F103:F113" si="22">$F$24*10</f>
        <v>20</v>
      </c>
      <c r="G103" s="264">
        <f t="shared" si="15"/>
        <v>544.5440000000001</v>
      </c>
      <c r="H103" s="265">
        <f t="shared" si="16"/>
        <v>544.5440000000001</v>
      </c>
      <c r="I103" s="265">
        <f t="shared" si="17"/>
        <v>0</v>
      </c>
      <c r="J103" s="265">
        <f t="shared" si="18"/>
        <v>7915.4560000000001</v>
      </c>
      <c r="K103" s="209">
        <f t="shared" si="19"/>
        <v>47.663936320000005</v>
      </c>
      <c r="L103" s="209">
        <f t="shared" si="20"/>
        <v>0</v>
      </c>
      <c r="M103" s="150"/>
      <c r="N103" s="145"/>
      <c r="O103" s="145"/>
      <c r="P103" s="145"/>
      <c r="Q103" s="145"/>
      <c r="R103" s="145"/>
      <c r="S103" s="145"/>
      <c r="T103" s="145"/>
      <c r="U103" s="145"/>
      <c r="V103" s="145"/>
      <c r="W103" s="145"/>
      <c r="X103" s="145"/>
      <c r="Y103" s="145"/>
      <c r="Z103" s="145"/>
    </row>
    <row r="104" spans="1:26" ht="15.5" x14ac:dyDescent="0.35">
      <c r="A104" s="261" t="s">
        <v>64</v>
      </c>
      <c r="B104" s="193">
        <v>31</v>
      </c>
      <c r="C104" s="262">
        <f>0.084*F16</f>
        <v>7896.0000000000009</v>
      </c>
      <c r="D104" s="263">
        <v>2.44</v>
      </c>
      <c r="E104" s="151">
        <f t="shared" si="21"/>
        <v>87.53</v>
      </c>
      <c r="F104" s="151">
        <f t="shared" si="22"/>
        <v>20</v>
      </c>
      <c r="G104" s="264">
        <f t="shared" si="15"/>
        <v>1337.3152000000002</v>
      </c>
      <c r="H104" s="265">
        <f t="shared" si="16"/>
        <v>1337.3152000000002</v>
      </c>
      <c r="I104" s="265">
        <f t="shared" si="17"/>
        <v>0</v>
      </c>
      <c r="J104" s="265">
        <f t="shared" si="18"/>
        <v>6558.6848000000009</v>
      </c>
      <c r="K104" s="209">
        <f t="shared" si="19"/>
        <v>117.05519945600001</v>
      </c>
      <c r="L104" s="209">
        <f t="shared" si="20"/>
        <v>0</v>
      </c>
      <c r="M104" s="150"/>
      <c r="N104" s="145"/>
      <c r="O104" s="145"/>
      <c r="P104" s="145"/>
      <c r="Q104" s="145"/>
      <c r="R104" s="145"/>
      <c r="S104" s="145"/>
      <c r="T104" s="145"/>
      <c r="U104" s="145"/>
      <c r="V104" s="145"/>
      <c r="W104" s="145"/>
      <c r="X104" s="145"/>
      <c r="Y104" s="145"/>
      <c r="Z104" s="145"/>
    </row>
    <row r="105" spans="1:26" ht="15.5" x14ac:dyDescent="0.35">
      <c r="A105" s="261" t="s">
        <v>65</v>
      </c>
      <c r="B105" s="193">
        <v>30</v>
      </c>
      <c r="C105" s="262">
        <f>0.084*F16</f>
        <v>7896.0000000000009</v>
      </c>
      <c r="D105" s="263">
        <v>3.96</v>
      </c>
      <c r="E105" s="151">
        <f t="shared" si="21"/>
        <v>87.53</v>
      </c>
      <c r="F105" s="151">
        <f t="shared" si="22"/>
        <v>20</v>
      </c>
      <c r="G105" s="264">
        <f t="shared" si="15"/>
        <v>2100.384</v>
      </c>
      <c r="H105" s="265">
        <f t="shared" si="16"/>
        <v>2100.384</v>
      </c>
      <c r="I105" s="265">
        <f t="shared" si="17"/>
        <v>0</v>
      </c>
      <c r="J105" s="265">
        <f t="shared" si="18"/>
        <v>5795.6160000000009</v>
      </c>
      <c r="K105" s="209">
        <f t="shared" si="19"/>
        <v>183.84661152000001</v>
      </c>
      <c r="L105" s="209">
        <f t="shared" si="20"/>
        <v>0</v>
      </c>
      <c r="M105" s="150"/>
      <c r="N105" s="145"/>
      <c r="O105" s="145"/>
      <c r="P105" s="145"/>
      <c r="Q105" s="145"/>
      <c r="R105" s="145"/>
      <c r="S105" s="145"/>
      <c r="T105" s="145"/>
      <c r="U105" s="145"/>
      <c r="V105" s="145"/>
      <c r="W105" s="145"/>
      <c r="X105" s="145"/>
      <c r="Y105" s="145"/>
      <c r="Z105" s="145"/>
    </row>
    <row r="106" spans="1:26" ht="15.5" x14ac:dyDescent="0.35">
      <c r="A106" s="261" t="s">
        <v>66</v>
      </c>
      <c r="B106" s="193">
        <v>31</v>
      </c>
      <c r="C106" s="262">
        <f>0.079*F16</f>
        <v>7426</v>
      </c>
      <c r="D106" s="263">
        <v>5.41</v>
      </c>
      <c r="E106" s="151">
        <f t="shared" si="21"/>
        <v>87.53</v>
      </c>
      <c r="F106" s="151">
        <f t="shared" si="22"/>
        <v>20</v>
      </c>
      <c r="G106" s="264">
        <f t="shared" si="15"/>
        <v>2965.1128000000003</v>
      </c>
      <c r="H106" s="265">
        <f t="shared" si="16"/>
        <v>2965.1128000000003</v>
      </c>
      <c r="I106" s="265">
        <f t="shared" si="17"/>
        <v>0</v>
      </c>
      <c r="J106" s="265">
        <f t="shared" si="18"/>
        <v>4460.8871999999992</v>
      </c>
      <c r="K106" s="209">
        <f t="shared" si="19"/>
        <v>259.53632338400007</v>
      </c>
      <c r="L106" s="209">
        <f t="shared" si="20"/>
        <v>0</v>
      </c>
      <c r="M106" s="150"/>
      <c r="N106" s="145"/>
      <c r="O106" s="145"/>
      <c r="P106" s="145"/>
      <c r="Q106" s="145"/>
      <c r="R106" s="145"/>
      <c r="S106" s="145"/>
      <c r="T106" s="145"/>
      <c r="U106" s="145"/>
      <c r="V106" s="145"/>
      <c r="W106" s="145"/>
      <c r="X106" s="145"/>
      <c r="Y106" s="145"/>
      <c r="Z106" s="145"/>
    </row>
    <row r="107" spans="1:26" ht="15.5" x14ac:dyDescent="0.35">
      <c r="A107" s="261" t="s">
        <v>67</v>
      </c>
      <c r="B107" s="193">
        <v>30</v>
      </c>
      <c r="C107" s="262">
        <f>0.07*F16</f>
        <v>6580.0000000000009</v>
      </c>
      <c r="D107" s="263">
        <v>5.63</v>
      </c>
      <c r="E107" s="151">
        <f t="shared" si="21"/>
        <v>87.53</v>
      </c>
      <c r="F107" s="151">
        <f t="shared" si="22"/>
        <v>20</v>
      </c>
      <c r="G107" s="264">
        <f t="shared" si="15"/>
        <v>2986.1520000000005</v>
      </c>
      <c r="H107" s="265">
        <f t="shared" si="16"/>
        <v>2632.0000000000005</v>
      </c>
      <c r="I107" s="265">
        <f t="shared" si="17"/>
        <v>354.15200000000004</v>
      </c>
      <c r="J107" s="265">
        <f t="shared" si="18"/>
        <v>3948.0000000000005</v>
      </c>
      <c r="K107" s="209">
        <f t="shared" si="19"/>
        <v>261.37788456000004</v>
      </c>
      <c r="L107" s="209">
        <f t="shared" si="20"/>
        <v>7.0830400000000004</v>
      </c>
      <c r="M107" s="150"/>
      <c r="N107" s="145"/>
      <c r="O107" s="145"/>
      <c r="P107" s="145"/>
      <c r="Q107" s="145"/>
      <c r="R107" s="145"/>
      <c r="S107" s="145"/>
      <c r="T107" s="145"/>
      <c r="U107" s="145"/>
      <c r="V107" s="145"/>
      <c r="W107" s="145"/>
      <c r="X107" s="145"/>
      <c r="Y107" s="145"/>
      <c r="Z107" s="145"/>
    </row>
    <row r="108" spans="1:26" ht="15.5" x14ac:dyDescent="0.35">
      <c r="A108" s="261" t="s">
        <v>68</v>
      </c>
      <c r="B108" s="193">
        <v>31</v>
      </c>
      <c r="C108" s="262">
        <f>0.07*F16</f>
        <v>6580.0000000000009</v>
      </c>
      <c r="D108" s="263">
        <v>5.6</v>
      </c>
      <c r="E108" s="151">
        <f t="shared" si="21"/>
        <v>87.53</v>
      </c>
      <c r="F108" s="151">
        <f t="shared" si="22"/>
        <v>20</v>
      </c>
      <c r="G108" s="264">
        <f t="shared" si="15"/>
        <v>3069.248</v>
      </c>
      <c r="H108" s="265">
        <f t="shared" si="16"/>
        <v>2632.0000000000005</v>
      </c>
      <c r="I108" s="265">
        <f t="shared" si="17"/>
        <v>437.24799999999959</v>
      </c>
      <c r="J108" s="265">
        <f t="shared" si="18"/>
        <v>3948.0000000000005</v>
      </c>
      <c r="K108" s="209">
        <f t="shared" si="19"/>
        <v>268.65127744000006</v>
      </c>
      <c r="L108" s="209">
        <f t="shared" si="20"/>
        <v>8.7449599999999919</v>
      </c>
      <c r="M108" s="150"/>
      <c r="N108" s="145"/>
      <c r="O108" s="145"/>
      <c r="P108" s="145"/>
      <c r="Q108" s="145"/>
      <c r="R108" s="145"/>
      <c r="S108" s="145"/>
      <c r="T108" s="145"/>
      <c r="U108" s="145"/>
      <c r="V108" s="145"/>
      <c r="W108" s="145"/>
      <c r="X108" s="145"/>
      <c r="Y108" s="145"/>
      <c r="Z108" s="145"/>
    </row>
    <row r="109" spans="1:26" ht="15.5" x14ac:dyDescent="0.35">
      <c r="A109" s="261" t="s">
        <v>69</v>
      </c>
      <c r="B109" s="193">
        <v>31</v>
      </c>
      <c r="C109" s="262">
        <f>0.079*F16</f>
        <v>7426</v>
      </c>
      <c r="D109" s="263">
        <v>4.09</v>
      </c>
      <c r="E109" s="151">
        <f t="shared" si="21"/>
        <v>87.53</v>
      </c>
      <c r="F109" s="151">
        <f t="shared" si="22"/>
        <v>20</v>
      </c>
      <c r="G109" s="264">
        <f t="shared" si="15"/>
        <v>2241.6471999999999</v>
      </c>
      <c r="H109" s="265">
        <f t="shared" si="16"/>
        <v>2241.6471999999999</v>
      </c>
      <c r="I109" s="265">
        <f t="shared" si="17"/>
        <v>0</v>
      </c>
      <c r="J109" s="265">
        <f t="shared" si="18"/>
        <v>5184.3528000000006</v>
      </c>
      <c r="K109" s="209">
        <f t="shared" si="19"/>
        <v>196.21137941599997</v>
      </c>
      <c r="L109" s="209">
        <f t="shared" si="20"/>
        <v>0</v>
      </c>
      <c r="M109" s="150"/>
      <c r="N109" s="145"/>
      <c r="O109" s="145"/>
      <c r="P109" s="145"/>
      <c r="Q109" s="145"/>
      <c r="R109" s="145"/>
      <c r="S109" s="145"/>
      <c r="T109" s="145"/>
      <c r="U109" s="145"/>
      <c r="V109" s="145"/>
      <c r="W109" s="145"/>
      <c r="X109" s="145"/>
      <c r="Y109" s="145"/>
      <c r="Z109" s="145"/>
    </row>
    <row r="110" spans="1:26" ht="15.5" x14ac:dyDescent="0.35">
      <c r="A110" s="261" t="s">
        <v>70</v>
      </c>
      <c r="B110" s="193">
        <v>30</v>
      </c>
      <c r="C110" s="262">
        <f>0.084*F16</f>
        <v>7896.0000000000009</v>
      </c>
      <c r="D110" s="263">
        <v>2.54</v>
      </c>
      <c r="E110" s="151">
        <f t="shared" si="21"/>
        <v>87.53</v>
      </c>
      <c r="F110" s="151">
        <f t="shared" si="22"/>
        <v>20</v>
      </c>
      <c r="G110" s="264">
        <f t="shared" si="15"/>
        <v>1347.2160000000001</v>
      </c>
      <c r="H110" s="265">
        <f t="shared" si="16"/>
        <v>1347.2160000000001</v>
      </c>
      <c r="I110" s="265">
        <f t="shared" si="17"/>
        <v>0</v>
      </c>
      <c r="J110" s="265">
        <f t="shared" si="18"/>
        <v>6548.7840000000006</v>
      </c>
      <c r="K110" s="209">
        <f t="shared" si="19"/>
        <v>117.92181648</v>
      </c>
      <c r="L110" s="209">
        <f t="shared" si="20"/>
        <v>0</v>
      </c>
      <c r="M110" s="150"/>
      <c r="N110" s="145"/>
      <c r="O110" s="145"/>
      <c r="P110" s="145"/>
      <c r="Q110" s="145"/>
      <c r="R110" s="145"/>
      <c r="S110" s="145"/>
      <c r="T110" s="145"/>
      <c r="U110" s="145"/>
      <c r="V110" s="145"/>
      <c r="W110" s="145"/>
      <c r="X110" s="145"/>
      <c r="Y110" s="145"/>
      <c r="Z110" s="145"/>
    </row>
    <row r="111" spans="1:26" ht="15.5" x14ac:dyDescent="0.35">
      <c r="A111" s="261" t="s">
        <v>71</v>
      </c>
      <c r="B111" s="193">
        <v>31</v>
      </c>
      <c r="C111" s="262">
        <f>0.09*F16</f>
        <v>8460</v>
      </c>
      <c r="D111" s="263">
        <v>1.18</v>
      </c>
      <c r="E111" s="151">
        <f t="shared" si="21"/>
        <v>87.53</v>
      </c>
      <c r="F111" s="151">
        <f t="shared" si="22"/>
        <v>20</v>
      </c>
      <c r="G111" s="264">
        <f t="shared" si="15"/>
        <v>646.73440000000005</v>
      </c>
      <c r="H111" s="265">
        <f t="shared" si="16"/>
        <v>646.73440000000005</v>
      </c>
      <c r="I111" s="265">
        <f t="shared" si="17"/>
        <v>0</v>
      </c>
      <c r="J111" s="265">
        <f t="shared" si="18"/>
        <v>7813.2655999999997</v>
      </c>
      <c r="K111" s="209">
        <f t="shared" si="19"/>
        <v>56.608662032000005</v>
      </c>
      <c r="L111" s="209">
        <f t="shared" si="20"/>
        <v>0</v>
      </c>
      <c r="M111" s="150"/>
      <c r="N111" s="145"/>
      <c r="O111" s="145"/>
      <c r="P111" s="145"/>
      <c r="Q111" s="145"/>
      <c r="R111" s="145"/>
      <c r="S111" s="145"/>
      <c r="T111" s="145"/>
      <c r="U111" s="145"/>
      <c r="V111" s="145"/>
      <c r="W111" s="145"/>
      <c r="X111" s="145"/>
      <c r="Y111" s="145"/>
      <c r="Z111" s="145"/>
    </row>
    <row r="112" spans="1:26" ht="15.5" x14ac:dyDescent="0.35">
      <c r="A112" s="261" t="s">
        <v>72</v>
      </c>
      <c r="B112" s="193">
        <v>30</v>
      </c>
      <c r="C112" s="262">
        <f>0.09*F16</f>
        <v>8460</v>
      </c>
      <c r="D112" s="263">
        <v>0.5</v>
      </c>
      <c r="E112" s="151">
        <f t="shared" si="21"/>
        <v>87.53</v>
      </c>
      <c r="F112" s="151">
        <f t="shared" si="22"/>
        <v>20</v>
      </c>
      <c r="G112" s="264">
        <f t="shared" si="15"/>
        <v>265.2</v>
      </c>
      <c r="H112" s="265">
        <f t="shared" si="16"/>
        <v>265.2</v>
      </c>
      <c r="I112" s="265">
        <f t="shared" si="17"/>
        <v>0</v>
      </c>
      <c r="J112" s="265">
        <f t="shared" si="18"/>
        <v>8194.7999999999993</v>
      </c>
      <c r="K112" s="209">
        <f t="shared" si="19"/>
        <v>23.212955999999998</v>
      </c>
      <c r="L112" s="209">
        <f t="shared" si="20"/>
        <v>0</v>
      </c>
      <c r="M112" s="150"/>
      <c r="N112" s="145"/>
      <c r="O112" s="145"/>
      <c r="P112" s="145"/>
      <c r="Q112" s="145"/>
      <c r="R112" s="145"/>
      <c r="S112" s="145"/>
      <c r="T112" s="145"/>
      <c r="U112" s="145"/>
      <c r="V112" s="145"/>
      <c r="W112" s="145"/>
      <c r="X112" s="145"/>
      <c r="Y112" s="145"/>
      <c r="Z112" s="145"/>
    </row>
    <row r="113" spans="1:26" ht="15.5" x14ac:dyDescent="0.35">
      <c r="A113" s="261" t="s">
        <v>73</v>
      </c>
      <c r="B113" s="193">
        <v>31</v>
      </c>
      <c r="C113" s="262">
        <f>0.09*F16</f>
        <v>8460</v>
      </c>
      <c r="D113" s="263">
        <v>0.2</v>
      </c>
      <c r="E113" s="151">
        <f t="shared" si="21"/>
        <v>87.53</v>
      </c>
      <c r="F113" s="151">
        <f t="shared" si="22"/>
        <v>20</v>
      </c>
      <c r="G113" s="264">
        <f t="shared" si="15"/>
        <v>109.61600000000001</v>
      </c>
      <c r="H113" s="265">
        <f t="shared" si="16"/>
        <v>109.61600000000001</v>
      </c>
      <c r="I113" s="265">
        <f t="shared" si="17"/>
        <v>0</v>
      </c>
      <c r="J113" s="265">
        <f t="shared" si="18"/>
        <v>8350.384</v>
      </c>
      <c r="K113" s="209">
        <f t="shared" si="19"/>
        <v>9.5946884800000003</v>
      </c>
      <c r="L113" s="209">
        <f t="shared" si="20"/>
        <v>0</v>
      </c>
      <c r="M113" s="150"/>
      <c r="N113" s="145"/>
      <c r="O113" s="145"/>
      <c r="P113" s="145"/>
      <c r="Q113" s="145"/>
      <c r="R113" s="145"/>
      <c r="S113" s="145"/>
      <c r="T113" s="145"/>
      <c r="U113" s="145"/>
      <c r="V113" s="145"/>
      <c r="W113" s="145"/>
      <c r="X113" s="145"/>
      <c r="Y113" s="145"/>
      <c r="Z113" s="145"/>
    </row>
    <row r="114" spans="1:26" ht="15.5" x14ac:dyDescent="0.35">
      <c r="A114" s="266" t="s">
        <v>220</v>
      </c>
      <c r="B114" s="265">
        <f t="shared" ref="B114:C114" si="23">SUM(B102:B113)</f>
        <v>365</v>
      </c>
      <c r="C114" s="258">
        <f t="shared" si="23"/>
        <v>94000</v>
      </c>
      <c r="D114" s="193"/>
      <c r="E114" s="145"/>
      <c r="F114" s="145"/>
      <c r="G114" s="267">
        <f t="shared" ref="G114:L114" si="24">SUM(G102:G113)</f>
        <v>17788.555200000003</v>
      </c>
      <c r="H114" s="268">
        <f t="shared" si="24"/>
        <v>16997.155200000005</v>
      </c>
      <c r="I114" s="269">
        <f t="shared" si="24"/>
        <v>791.39999999999964</v>
      </c>
      <c r="J114" s="269">
        <f t="shared" si="24"/>
        <v>77002.844800000006</v>
      </c>
      <c r="K114" s="270">
        <f t="shared" si="24"/>
        <v>1557.0322366560004</v>
      </c>
      <c r="L114" s="270">
        <f t="shared" si="24"/>
        <v>15.827999999999992</v>
      </c>
      <c r="M114" s="150"/>
      <c r="N114" s="145"/>
      <c r="O114" s="145"/>
      <c r="P114" s="145"/>
      <c r="Q114" s="145"/>
      <c r="R114" s="145"/>
      <c r="S114" s="145"/>
      <c r="T114" s="145"/>
      <c r="U114" s="145"/>
      <c r="V114" s="145"/>
      <c r="W114" s="145"/>
      <c r="X114" s="145"/>
      <c r="Y114" s="145"/>
      <c r="Z114" s="145"/>
    </row>
    <row r="115" spans="1:26" ht="15.5" x14ac:dyDescent="0.35">
      <c r="A115" s="271"/>
      <c r="B115" s="272"/>
      <c r="C115" s="145" t="s">
        <v>4</v>
      </c>
      <c r="D115" s="145"/>
      <c r="E115" s="273"/>
      <c r="F115" s="273"/>
      <c r="G115" s="273"/>
      <c r="H115" s="145"/>
      <c r="I115" s="145"/>
      <c r="J115" s="238"/>
      <c r="K115" s="274"/>
      <c r="L115" s="274"/>
      <c r="M115" s="275"/>
      <c r="N115" s="145"/>
      <c r="O115" s="145"/>
      <c r="P115" s="145"/>
      <c r="Q115" s="145"/>
      <c r="R115" s="145"/>
      <c r="S115" s="145"/>
      <c r="T115" s="145"/>
      <c r="U115" s="145"/>
      <c r="V115" s="145"/>
      <c r="W115" s="145"/>
      <c r="X115" s="145"/>
      <c r="Y115" s="145"/>
      <c r="Z115" s="145"/>
    </row>
    <row r="116" spans="1:26" ht="15.5" x14ac:dyDescent="0.35">
      <c r="A116" s="394" t="s">
        <v>221</v>
      </c>
      <c r="B116" s="395"/>
      <c r="C116" s="396"/>
      <c r="D116" s="276">
        <f>G114</f>
        <v>17788.555200000003</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5" x14ac:dyDescent="0.35">
      <c r="A117" s="394" t="s">
        <v>222</v>
      </c>
      <c r="B117" s="395"/>
      <c r="C117" s="396"/>
      <c r="D117" s="277">
        <f>I114/G114</f>
        <v>4.4489279264231615E-2</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5" x14ac:dyDescent="0.3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5" x14ac:dyDescent="0.3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5" x14ac:dyDescent="0.3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5" x14ac:dyDescent="0.35">
      <c r="A121" s="158" t="s">
        <v>223</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5" x14ac:dyDescent="0.35">
      <c r="A122" s="158" t="s">
        <v>224</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5" x14ac:dyDescent="0.3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5" x14ac:dyDescent="0.3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5" x14ac:dyDescent="0.3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5" x14ac:dyDescent="0.3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5" x14ac:dyDescent="0.3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5" x14ac:dyDescent="0.3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5" x14ac:dyDescent="0.3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5" x14ac:dyDescent="0.3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5" x14ac:dyDescent="0.3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5" x14ac:dyDescent="0.3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5" x14ac:dyDescent="0.3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5" x14ac:dyDescent="0.3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5" x14ac:dyDescent="0.3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5" x14ac:dyDescent="0.3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5" x14ac:dyDescent="0.3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5" x14ac:dyDescent="0.3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5" x14ac:dyDescent="0.3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5" x14ac:dyDescent="0.3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5" x14ac:dyDescent="0.3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5" x14ac:dyDescent="0.3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5" x14ac:dyDescent="0.3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5" x14ac:dyDescent="0.3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5" x14ac:dyDescent="0.3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5" x14ac:dyDescent="0.3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5" x14ac:dyDescent="0.3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5" x14ac:dyDescent="0.3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5" x14ac:dyDescent="0.3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5" x14ac:dyDescent="0.3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5" x14ac:dyDescent="0.3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5" x14ac:dyDescent="0.3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5" x14ac:dyDescent="0.3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5" x14ac:dyDescent="0.3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5" x14ac:dyDescent="0.3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5" x14ac:dyDescent="0.3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5" x14ac:dyDescent="0.3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5" x14ac:dyDescent="0.3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5" x14ac:dyDescent="0.3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5" x14ac:dyDescent="0.3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5" x14ac:dyDescent="0.3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5" x14ac:dyDescent="0.3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5" x14ac:dyDescent="0.3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5" x14ac:dyDescent="0.3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5" x14ac:dyDescent="0.3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5" x14ac:dyDescent="0.3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5" x14ac:dyDescent="0.3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5" x14ac:dyDescent="0.3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5" x14ac:dyDescent="0.3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5" x14ac:dyDescent="0.3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5" x14ac:dyDescent="0.3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5" x14ac:dyDescent="0.3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5" x14ac:dyDescent="0.3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5" x14ac:dyDescent="0.3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5" x14ac:dyDescent="0.3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5" x14ac:dyDescent="0.3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5" x14ac:dyDescent="0.3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5" x14ac:dyDescent="0.3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5" x14ac:dyDescent="0.3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5" x14ac:dyDescent="0.3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5" x14ac:dyDescent="0.3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5" x14ac:dyDescent="0.3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5" x14ac:dyDescent="0.3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5" x14ac:dyDescent="0.3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5" x14ac:dyDescent="0.3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5" x14ac:dyDescent="0.3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5" x14ac:dyDescent="0.3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5" x14ac:dyDescent="0.3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5" x14ac:dyDescent="0.3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5" x14ac:dyDescent="0.3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5" x14ac:dyDescent="0.3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5" x14ac:dyDescent="0.3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5" x14ac:dyDescent="0.3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5" x14ac:dyDescent="0.3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5" x14ac:dyDescent="0.3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5" x14ac:dyDescent="0.3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5" x14ac:dyDescent="0.3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5" x14ac:dyDescent="0.3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5" x14ac:dyDescent="0.3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5" x14ac:dyDescent="0.3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5" x14ac:dyDescent="0.3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5" x14ac:dyDescent="0.3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5" x14ac:dyDescent="0.3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5" x14ac:dyDescent="0.3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5" x14ac:dyDescent="0.3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5" x14ac:dyDescent="0.3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5" x14ac:dyDescent="0.3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5" x14ac:dyDescent="0.3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5" x14ac:dyDescent="0.3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5" x14ac:dyDescent="0.3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5" x14ac:dyDescent="0.3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5" x14ac:dyDescent="0.3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5" x14ac:dyDescent="0.3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5" x14ac:dyDescent="0.3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5" x14ac:dyDescent="0.3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5" x14ac:dyDescent="0.3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5" x14ac:dyDescent="0.3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5" x14ac:dyDescent="0.3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5" x14ac:dyDescent="0.3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5" x14ac:dyDescent="0.3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5" x14ac:dyDescent="0.3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5" x14ac:dyDescent="0.3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5" x14ac:dyDescent="0.3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5" x14ac:dyDescent="0.3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5" x14ac:dyDescent="0.3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5" x14ac:dyDescent="0.3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5" x14ac:dyDescent="0.3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5" x14ac:dyDescent="0.3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5" x14ac:dyDescent="0.3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5" x14ac:dyDescent="0.3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5" x14ac:dyDescent="0.3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5" x14ac:dyDescent="0.3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5" x14ac:dyDescent="0.3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5" x14ac:dyDescent="0.3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5" x14ac:dyDescent="0.3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5" x14ac:dyDescent="0.3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5" x14ac:dyDescent="0.3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5" x14ac:dyDescent="0.3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5" x14ac:dyDescent="0.3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5" x14ac:dyDescent="0.3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5" x14ac:dyDescent="0.3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5" x14ac:dyDescent="0.3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5" x14ac:dyDescent="0.3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5" x14ac:dyDescent="0.3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5" x14ac:dyDescent="0.3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5" x14ac:dyDescent="0.3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5" x14ac:dyDescent="0.3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5" x14ac:dyDescent="0.3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5" x14ac:dyDescent="0.3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5" x14ac:dyDescent="0.3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5" x14ac:dyDescent="0.3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5" x14ac:dyDescent="0.3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5" x14ac:dyDescent="0.3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5" x14ac:dyDescent="0.3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5" x14ac:dyDescent="0.3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5" x14ac:dyDescent="0.3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5" x14ac:dyDescent="0.3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5" x14ac:dyDescent="0.3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5" x14ac:dyDescent="0.3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5" x14ac:dyDescent="0.3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5" x14ac:dyDescent="0.3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5" x14ac:dyDescent="0.3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5" x14ac:dyDescent="0.3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5" x14ac:dyDescent="0.3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5" x14ac:dyDescent="0.3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5" x14ac:dyDescent="0.3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5" x14ac:dyDescent="0.3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5" x14ac:dyDescent="0.3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5" x14ac:dyDescent="0.3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5" x14ac:dyDescent="0.3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5" x14ac:dyDescent="0.3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5" x14ac:dyDescent="0.3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5" x14ac:dyDescent="0.3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5" x14ac:dyDescent="0.3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5" x14ac:dyDescent="0.3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5" x14ac:dyDescent="0.3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5" x14ac:dyDescent="0.3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5" x14ac:dyDescent="0.3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5" x14ac:dyDescent="0.3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5" x14ac:dyDescent="0.3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5" x14ac:dyDescent="0.3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5" x14ac:dyDescent="0.3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5" x14ac:dyDescent="0.3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5" x14ac:dyDescent="0.3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5" x14ac:dyDescent="0.3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5" x14ac:dyDescent="0.3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5" x14ac:dyDescent="0.3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5" x14ac:dyDescent="0.3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5" x14ac:dyDescent="0.3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5" x14ac:dyDescent="0.3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5" x14ac:dyDescent="0.3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5" x14ac:dyDescent="0.3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5" x14ac:dyDescent="0.3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5" x14ac:dyDescent="0.3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5" x14ac:dyDescent="0.3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5" x14ac:dyDescent="0.3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5" x14ac:dyDescent="0.3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5" x14ac:dyDescent="0.3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5" x14ac:dyDescent="0.3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5" x14ac:dyDescent="0.3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5" x14ac:dyDescent="0.3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5" x14ac:dyDescent="0.3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5" x14ac:dyDescent="0.3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5" x14ac:dyDescent="0.3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5" x14ac:dyDescent="0.3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5" x14ac:dyDescent="0.3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5" x14ac:dyDescent="0.3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5" x14ac:dyDescent="0.3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5" x14ac:dyDescent="0.3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5" x14ac:dyDescent="0.3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5" x14ac:dyDescent="0.3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5" x14ac:dyDescent="0.3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5" x14ac:dyDescent="0.3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5" x14ac:dyDescent="0.3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5" x14ac:dyDescent="0.3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5" x14ac:dyDescent="0.3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5" x14ac:dyDescent="0.3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5" x14ac:dyDescent="0.3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5" x14ac:dyDescent="0.3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5" x14ac:dyDescent="0.3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5" x14ac:dyDescent="0.3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5" x14ac:dyDescent="0.3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5" x14ac:dyDescent="0.3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5" x14ac:dyDescent="0.3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5" x14ac:dyDescent="0.3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5" x14ac:dyDescent="0.3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5" x14ac:dyDescent="0.3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5" x14ac:dyDescent="0.3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5" x14ac:dyDescent="0.3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5" x14ac:dyDescent="0.3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5" x14ac:dyDescent="0.3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5" x14ac:dyDescent="0.3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5" x14ac:dyDescent="0.3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5" x14ac:dyDescent="0.3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5" x14ac:dyDescent="0.3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5" x14ac:dyDescent="0.3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5" x14ac:dyDescent="0.3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5" x14ac:dyDescent="0.3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5" x14ac:dyDescent="0.3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5" x14ac:dyDescent="0.3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5" x14ac:dyDescent="0.3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5" x14ac:dyDescent="0.3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5" x14ac:dyDescent="0.3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5" x14ac:dyDescent="0.3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5" x14ac:dyDescent="0.3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5" x14ac:dyDescent="0.3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5" x14ac:dyDescent="0.3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5" x14ac:dyDescent="0.3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5" x14ac:dyDescent="0.3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5" x14ac:dyDescent="0.3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5" x14ac:dyDescent="0.3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5" x14ac:dyDescent="0.3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5" x14ac:dyDescent="0.3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5" x14ac:dyDescent="0.3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5" x14ac:dyDescent="0.3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5" x14ac:dyDescent="0.3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5" x14ac:dyDescent="0.3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5" x14ac:dyDescent="0.3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5" x14ac:dyDescent="0.3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5" x14ac:dyDescent="0.3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5" x14ac:dyDescent="0.3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5" x14ac:dyDescent="0.3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5" x14ac:dyDescent="0.3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5" x14ac:dyDescent="0.3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5" x14ac:dyDescent="0.3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5" x14ac:dyDescent="0.3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5" x14ac:dyDescent="0.3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5" x14ac:dyDescent="0.3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5" x14ac:dyDescent="0.3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5" x14ac:dyDescent="0.3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5" x14ac:dyDescent="0.3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5" x14ac:dyDescent="0.3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5" x14ac:dyDescent="0.3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5" x14ac:dyDescent="0.3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5" x14ac:dyDescent="0.3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5" x14ac:dyDescent="0.3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5" x14ac:dyDescent="0.3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5" x14ac:dyDescent="0.3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5" x14ac:dyDescent="0.3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5" x14ac:dyDescent="0.3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5" x14ac:dyDescent="0.3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5" x14ac:dyDescent="0.3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5" x14ac:dyDescent="0.3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5" x14ac:dyDescent="0.3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5" x14ac:dyDescent="0.3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5" x14ac:dyDescent="0.3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5" x14ac:dyDescent="0.3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5" x14ac:dyDescent="0.3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5" x14ac:dyDescent="0.3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5" x14ac:dyDescent="0.3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5" x14ac:dyDescent="0.3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5" x14ac:dyDescent="0.3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5" x14ac:dyDescent="0.3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5" x14ac:dyDescent="0.3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5" x14ac:dyDescent="0.3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5" x14ac:dyDescent="0.3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5" x14ac:dyDescent="0.3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5" x14ac:dyDescent="0.3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5" x14ac:dyDescent="0.3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5" x14ac:dyDescent="0.3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5" x14ac:dyDescent="0.3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5" x14ac:dyDescent="0.3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5" x14ac:dyDescent="0.3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5" x14ac:dyDescent="0.3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5" x14ac:dyDescent="0.3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5" x14ac:dyDescent="0.3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5" x14ac:dyDescent="0.3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5" x14ac:dyDescent="0.3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5" x14ac:dyDescent="0.3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5" x14ac:dyDescent="0.3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5" x14ac:dyDescent="0.3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5" x14ac:dyDescent="0.3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5" x14ac:dyDescent="0.3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5" x14ac:dyDescent="0.3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5" x14ac:dyDescent="0.3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5" x14ac:dyDescent="0.3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5" x14ac:dyDescent="0.3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5" x14ac:dyDescent="0.3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5" x14ac:dyDescent="0.3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5" x14ac:dyDescent="0.3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5" x14ac:dyDescent="0.3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5" x14ac:dyDescent="0.3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5" x14ac:dyDescent="0.3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5" x14ac:dyDescent="0.3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5" x14ac:dyDescent="0.3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5" x14ac:dyDescent="0.3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5" x14ac:dyDescent="0.3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5" x14ac:dyDescent="0.3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5" x14ac:dyDescent="0.3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5" x14ac:dyDescent="0.3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5" x14ac:dyDescent="0.3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5" x14ac:dyDescent="0.3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5" x14ac:dyDescent="0.3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5" x14ac:dyDescent="0.3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5" x14ac:dyDescent="0.3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5" x14ac:dyDescent="0.3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5" x14ac:dyDescent="0.3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5" x14ac:dyDescent="0.3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5" x14ac:dyDescent="0.3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5" x14ac:dyDescent="0.3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5" x14ac:dyDescent="0.3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5" x14ac:dyDescent="0.3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5" x14ac:dyDescent="0.3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5" x14ac:dyDescent="0.3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5" x14ac:dyDescent="0.3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5" x14ac:dyDescent="0.3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5" x14ac:dyDescent="0.3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5" x14ac:dyDescent="0.3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5" x14ac:dyDescent="0.3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5" x14ac:dyDescent="0.3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5" x14ac:dyDescent="0.3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5" x14ac:dyDescent="0.3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5" x14ac:dyDescent="0.3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5" x14ac:dyDescent="0.3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5" x14ac:dyDescent="0.3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5" x14ac:dyDescent="0.3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5" x14ac:dyDescent="0.3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5" x14ac:dyDescent="0.3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5" x14ac:dyDescent="0.3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5" x14ac:dyDescent="0.3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5" x14ac:dyDescent="0.3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5" x14ac:dyDescent="0.3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5" x14ac:dyDescent="0.3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5" x14ac:dyDescent="0.3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5" x14ac:dyDescent="0.3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5" x14ac:dyDescent="0.3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5" x14ac:dyDescent="0.3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5" x14ac:dyDescent="0.3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5" x14ac:dyDescent="0.3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5" x14ac:dyDescent="0.3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5" x14ac:dyDescent="0.3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5" x14ac:dyDescent="0.3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5" x14ac:dyDescent="0.3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5" x14ac:dyDescent="0.3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5" x14ac:dyDescent="0.3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5" x14ac:dyDescent="0.3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5" x14ac:dyDescent="0.3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5" x14ac:dyDescent="0.3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5" x14ac:dyDescent="0.3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5" x14ac:dyDescent="0.3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5" x14ac:dyDescent="0.3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5" x14ac:dyDescent="0.3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5" x14ac:dyDescent="0.3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5" x14ac:dyDescent="0.3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5" x14ac:dyDescent="0.3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5" x14ac:dyDescent="0.3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5" x14ac:dyDescent="0.3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5" x14ac:dyDescent="0.3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5" x14ac:dyDescent="0.3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5" x14ac:dyDescent="0.3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5" x14ac:dyDescent="0.3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5" x14ac:dyDescent="0.3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5" x14ac:dyDescent="0.3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5" x14ac:dyDescent="0.3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5" x14ac:dyDescent="0.3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5" x14ac:dyDescent="0.3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5" x14ac:dyDescent="0.3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5" x14ac:dyDescent="0.3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5" x14ac:dyDescent="0.3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5" x14ac:dyDescent="0.3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5" x14ac:dyDescent="0.3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5" x14ac:dyDescent="0.3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5" x14ac:dyDescent="0.3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5" x14ac:dyDescent="0.3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5" x14ac:dyDescent="0.3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5" x14ac:dyDescent="0.3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5" x14ac:dyDescent="0.3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5" x14ac:dyDescent="0.3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5" x14ac:dyDescent="0.3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5" x14ac:dyDescent="0.3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5" x14ac:dyDescent="0.3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5" x14ac:dyDescent="0.3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5" x14ac:dyDescent="0.3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5" x14ac:dyDescent="0.3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5" x14ac:dyDescent="0.3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5" x14ac:dyDescent="0.3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5" x14ac:dyDescent="0.3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5" x14ac:dyDescent="0.3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5" x14ac:dyDescent="0.3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5" x14ac:dyDescent="0.3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5" x14ac:dyDescent="0.3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5" x14ac:dyDescent="0.3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5" x14ac:dyDescent="0.3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5" x14ac:dyDescent="0.3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5" x14ac:dyDescent="0.3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5" x14ac:dyDescent="0.3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5" x14ac:dyDescent="0.3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5" x14ac:dyDescent="0.3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5" x14ac:dyDescent="0.3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5" x14ac:dyDescent="0.3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5" x14ac:dyDescent="0.3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5" x14ac:dyDescent="0.3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5" x14ac:dyDescent="0.3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5" x14ac:dyDescent="0.3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5" x14ac:dyDescent="0.3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5" x14ac:dyDescent="0.3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5" x14ac:dyDescent="0.3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5" x14ac:dyDescent="0.3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5" x14ac:dyDescent="0.3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5" x14ac:dyDescent="0.3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5" x14ac:dyDescent="0.3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5" x14ac:dyDescent="0.3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5" x14ac:dyDescent="0.3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5" x14ac:dyDescent="0.3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5" x14ac:dyDescent="0.3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5" x14ac:dyDescent="0.3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5" x14ac:dyDescent="0.3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5" x14ac:dyDescent="0.3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5" x14ac:dyDescent="0.3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5" x14ac:dyDescent="0.3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5" x14ac:dyDescent="0.3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5" x14ac:dyDescent="0.3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5" x14ac:dyDescent="0.3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5" x14ac:dyDescent="0.3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5" x14ac:dyDescent="0.3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5" x14ac:dyDescent="0.3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5" x14ac:dyDescent="0.3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5" x14ac:dyDescent="0.3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5" x14ac:dyDescent="0.3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5" x14ac:dyDescent="0.3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5" x14ac:dyDescent="0.3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5" x14ac:dyDescent="0.3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5" x14ac:dyDescent="0.3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5" x14ac:dyDescent="0.3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5" x14ac:dyDescent="0.3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5" x14ac:dyDescent="0.3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5" x14ac:dyDescent="0.3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5" x14ac:dyDescent="0.3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5" x14ac:dyDescent="0.3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5" x14ac:dyDescent="0.3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5" x14ac:dyDescent="0.3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5" x14ac:dyDescent="0.3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5" x14ac:dyDescent="0.3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5" x14ac:dyDescent="0.3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5" x14ac:dyDescent="0.3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5" x14ac:dyDescent="0.3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5" x14ac:dyDescent="0.3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5" x14ac:dyDescent="0.3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5" x14ac:dyDescent="0.3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5" x14ac:dyDescent="0.3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5" x14ac:dyDescent="0.3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5" x14ac:dyDescent="0.3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5" x14ac:dyDescent="0.3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5" x14ac:dyDescent="0.3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5" x14ac:dyDescent="0.3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5" x14ac:dyDescent="0.3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5" x14ac:dyDescent="0.3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5" x14ac:dyDescent="0.3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5" x14ac:dyDescent="0.3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5" x14ac:dyDescent="0.3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5" x14ac:dyDescent="0.3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5" x14ac:dyDescent="0.3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5" x14ac:dyDescent="0.3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5" x14ac:dyDescent="0.3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5" x14ac:dyDescent="0.3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5" x14ac:dyDescent="0.3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5" x14ac:dyDescent="0.3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5" x14ac:dyDescent="0.3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5" x14ac:dyDescent="0.3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5" x14ac:dyDescent="0.3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5" x14ac:dyDescent="0.3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5" x14ac:dyDescent="0.3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5" x14ac:dyDescent="0.3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5" x14ac:dyDescent="0.3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5" x14ac:dyDescent="0.3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5" x14ac:dyDescent="0.3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5" x14ac:dyDescent="0.3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5" x14ac:dyDescent="0.3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5" x14ac:dyDescent="0.3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5" x14ac:dyDescent="0.3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5" x14ac:dyDescent="0.3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5" x14ac:dyDescent="0.3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5" x14ac:dyDescent="0.3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5" x14ac:dyDescent="0.3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5" x14ac:dyDescent="0.3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5" x14ac:dyDescent="0.3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5" x14ac:dyDescent="0.3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5" x14ac:dyDescent="0.3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5" x14ac:dyDescent="0.3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5" x14ac:dyDescent="0.3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5" x14ac:dyDescent="0.3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5" x14ac:dyDescent="0.3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5" x14ac:dyDescent="0.3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5" x14ac:dyDescent="0.3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5" x14ac:dyDescent="0.3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5" x14ac:dyDescent="0.3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5" x14ac:dyDescent="0.3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5" x14ac:dyDescent="0.3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5" x14ac:dyDescent="0.3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5" x14ac:dyDescent="0.3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5" x14ac:dyDescent="0.3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5" x14ac:dyDescent="0.3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5" x14ac:dyDescent="0.3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5" x14ac:dyDescent="0.3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5" x14ac:dyDescent="0.3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5" x14ac:dyDescent="0.3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5" x14ac:dyDescent="0.3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5" x14ac:dyDescent="0.3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5" x14ac:dyDescent="0.3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5" x14ac:dyDescent="0.3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5" x14ac:dyDescent="0.3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5" x14ac:dyDescent="0.3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5" x14ac:dyDescent="0.3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5" x14ac:dyDescent="0.3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5" x14ac:dyDescent="0.3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5" x14ac:dyDescent="0.3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5" x14ac:dyDescent="0.3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5" x14ac:dyDescent="0.3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5" x14ac:dyDescent="0.3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5" x14ac:dyDescent="0.3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5" x14ac:dyDescent="0.3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5" x14ac:dyDescent="0.3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5" x14ac:dyDescent="0.3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5" x14ac:dyDescent="0.3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5" x14ac:dyDescent="0.3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5" x14ac:dyDescent="0.3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5" x14ac:dyDescent="0.3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5" x14ac:dyDescent="0.3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5" x14ac:dyDescent="0.3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5" x14ac:dyDescent="0.3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5" x14ac:dyDescent="0.3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5" x14ac:dyDescent="0.3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5" x14ac:dyDescent="0.3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5" x14ac:dyDescent="0.3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5" x14ac:dyDescent="0.3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5" x14ac:dyDescent="0.3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5" x14ac:dyDescent="0.3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5" x14ac:dyDescent="0.3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5" x14ac:dyDescent="0.3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5" x14ac:dyDescent="0.3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5" x14ac:dyDescent="0.3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5" x14ac:dyDescent="0.3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5" x14ac:dyDescent="0.3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5" x14ac:dyDescent="0.3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5" x14ac:dyDescent="0.3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5" x14ac:dyDescent="0.3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5" x14ac:dyDescent="0.3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5" x14ac:dyDescent="0.3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5" x14ac:dyDescent="0.3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5" x14ac:dyDescent="0.3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5" x14ac:dyDescent="0.3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5" x14ac:dyDescent="0.3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5" x14ac:dyDescent="0.3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5" x14ac:dyDescent="0.3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5" x14ac:dyDescent="0.3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5" x14ac:dyDescent="0.3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5" x14ac:dyDescent="0.3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5" x14ac:dyDescent="0.3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5" x14ac:dyDescent="0.3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5" x14ac:dyDescent="0.3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5" x14ac:dyDescent="0.3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5" x14ac:dyDescent="0.3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5" x14ac:dyDescent="0.3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5" x14ac:dyDescent="0.3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5" x14ac:dyDescent="0.3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5" x14ac:dyDescent="0.3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5" x14ac:dyDescent="0.3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5" x14ac:dyDescent="0.3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5" x14ac:dyDescent="0.3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5" x14ac:dyDescent="0.3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5" x14ac:dyDescent="0.3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5" x14ac:dyDescent="0.3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5" x14ac:dyDescent="0.3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5" x14ac:dyDescent="0.3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5" x14ac:dyDescent="0.3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5" x14ac:dyDescent="0.3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5" x14ac:dyDescent="0.3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5" x14ac:dyDescent="0.3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5" x14ac:dyDescent="0.3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5" x14ac:dyDescent="0.3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5" x14ac:dyDescent="0.3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5" x14ac:dyDescent="0.3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5" x14ac:dyDescent="0.3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5" x14ac:dyDescent="0.3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5" x14ac:dyDescent="0.3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5" x14ac:dyDescent="0.3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5" x14ac:dyDescent="0.3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5" x14ac:dyDescent="0.3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5" x14ac:dyDescent="0.3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5" x14ac:dyDescent="0.3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5" x14ac:dyDescent="0.3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5" x14ac:dyDescent="0.3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5" x14ac:dyDescent="0.3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5" x14ac:dyDescent="0.3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5" x14ac:dyDescent="0.3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5" x14ac:dyDescent="0.3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5" x14ac:dyDescent="0.3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5" x14ac:dyDescent="0.3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5" x14ac:dyDescent="0.3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5" x14ac:dyDescent="0.3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5" x14ac:dyDescent="0.3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5" x14ac:dyDescent="0.3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5" x14ac:dyDescent="0.3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5" x14ac:dyDescent="0.3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5" x14ac:dyDescent="0.3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5" x14ac:dyDescent="0.3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5" x14ac:dyDescent="0.3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5" x14ac:dyDescent="0.3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5" x14ac:dyDescent="0.3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5" x14ac:dyDescent="0.3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5" x14ac:dyDescent="0.3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5" x14ac:dyDescent="0.3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5" x14ac:dyDescent="0.3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5" x14ac:dyDescent="0.3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5" x14ac:dyDescent="0.3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5" x14ac:dyDescent="0.3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5" x14ac:dyDescent="0.3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5" x14ac:dyDescent="0.3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5" x14ac:dyDescent="0.3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5" x14ac:dyDescent="0.3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5" x14ac:dyDescent="0.3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5" x14ac:dyDescent="0.3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5" x14ac:dyDescent="0.3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5" x14ac:dyDescent="0.3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5" x14ac:dyDescent="0.3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5" x14ac:dyDescent="0.3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5" x14ac:dyDescent="0.3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5" x14ac:dyDescent="0.3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5" x14ac:dyDescent="0.3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5" x14ac:dyDescent="0.3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5" x14ac:dyDescent="0.3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5" x14ac:dyDescent="0.3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5" x14ac:dyDescent="0.3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5" x14ac:dyDescent="0.3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5" x14ac:dyDescent="0.3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5" x14ac:dyDescent="0.3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5" x14ac:dyDescent="0.3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5" x14ac:dyDescent="0.3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5" x14ac:dyDescent="0.3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5" x14ac:dyDescent="0.3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5" x14ac:dyDescent="0.3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5" x14ac:dyDescent="0.3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5" x14ac:dyDescent="0.3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5" x14ac:dyDescent="0.3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5" x14ac:dyDescent="0.3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5" x14ac:dyDescent="0.3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5" x14ac:dyDescent="0.3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5" x14ac:dyDescent="0.3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5" x14ac:dyDescent="0.3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5" x14ac:dyDescent="0.3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5" x14ac:dyDescent="0.3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5" x14ac:dyDescent="0.3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5" x14ac:dyDescent="0.3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5" x14ac:dyDescent="0.3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5" x14ac:dyDescent="0.3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5" x14ac:dyDescent="0.3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5" x14ac:dyDescent="0.3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5" x14ac:dyDescent="0.3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5" x14ac:dyDescent="0.3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5" x14ac:dyDescent="0.3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5" x14ac:dyDescent="0.3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5" x14ac:dyDescent="0.3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5" x14ac:dyDescent="0.3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5" x14ac:dyDescent="0.3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5" x14ac:dyDescent="0.3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5" x14ac:dyDescent="0.3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5" x14ac:dyDescent="0.3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5" x14ac:dyDescent="0.3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5" x14ac:dyDescent="0.3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5" x14ac:dyDescent="0.3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5" x14ac:dyDescent="0.3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5" x14ac:dyDescent="0.3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5" x14ac:dyDescent="0.3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5" x14ac:dyDescent="0.3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5" x14ac:dyDescent="0.3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5" x14ac:dyDescent="0.3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5" x14ac:dyDescent="0.3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5" x14ac:dyDescent="0.3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5" x14ac:dyDescent="0.3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5" x14ac:dyDescent="0.3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5" x14ac:dyDescent="0.3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5" x14ac:dyDescent="0.3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5" x14ac:dyDescent="0.3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5" x14ac:dyDescent="0.3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5" x14ac:dyDescent="0.3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5" x14ac:dyDescent="0.3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5" x14ac:dyDescent="0.3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5" x14ac:dyDescent="0.3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5" x14ac:dyDescent="0.3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5" x14ac:dyDescent="0.3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5" x14ac:dyDescent="0.3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5" x14ac:dyDescent="0.3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5" x14ac:dyDescent="0.3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5" x14ac:dyDescent="0.3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5" x14ac:dyDescent="0.3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5" x14ac:dyDescent="0.3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5" x14ac:dyDescent="0.3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5" x14ac:dyDescent="0.3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5" x14ac:dyDescent="0.3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5" x14ac:dyDescent="0.3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5" x14ac:dyDescent="0.3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5" x14ac:dyDescent="0.3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5" x14ac:dyDescent="0.3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5" x14ac:dyDescent="0.3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5" x14ac:dyDescent="0.3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5" x14ac:dyDescent="0.3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5" x14ac:dyDescent="0.3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5" x14ac:dyDescent="0.3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5" x14ac:dyDescent="0.3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5" x14ac:dyDescent="0.3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5" x14ac:dyDescent="0.3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5" x14ac:dyDescent="0.3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5" x14ac:dyDescent="0.3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5" x14ac:dyDescent="0.3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5" x14ac:dyDescent="0.3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5" x14ac:dyDescent="0.3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5" x14ac:dyDescent="0.3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5" x14ac:dyDescent="0.3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5" x14ac:dyDescent="0.3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5" x14ac:dyDescent="0.3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5" x14ac:dyDescent="0.3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5" x14ac:dyDescent="0.3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5" x14ac:dyDescent="0.3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5" x14ac:dyDescent="0.3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5" x14ac:dyDescent="0.3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5" x14ac:dyDescent="0.3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5" x14ac:dyDescent="0.3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5" x14ac:dyDescent="0.3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5" x14ac:dyDescent="0.3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5" x14ac:dyDescent="0.3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5" x14ac:dyDescent="0.3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5" x14ac:dyDescent="0.3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5" x14ac:dyDescent="0.3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5" x14ac:dyDescent="0.3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5" x14ac:dyDescent="0.3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5" x14ac:dyDescent="0.3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5" x14ac:dyDescent="0.3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5" x14ac:dyDescent="0.3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5" x14ac:dyDescent="0.3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5" x14ac:dyDescent="0.3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5" x14ac:dyDescent="0.3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5" x14ac:dyDescent="0.3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5" x14ac:dyDescent="0.3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5" x14ac:dyDescent="0.3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5" x14ac:dyDescent="0.3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5" x14ac:dyDescent="0.3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5" x14ac:dyDescent="0.3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5" x14ac:dyDescent="0.3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5" x14ac:dyDescent="0.3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5" x14ac:dyDescent="0.3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5" x14ac:dyDescent="0.3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5" x14ac:dyDescent="0.3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5" x14ac:dyDescent="0.3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5" x14ac:dyDescent="0.3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5" x14ac:dyDescent="0.3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5" x14ac:dyDescent="0.3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5" x14ac:dyDescent="0.3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5" x14ac:dyDescent="0.3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5" x14ac:dyDescent="0.3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5" x14ac:dyDescent="0.3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5" x14ac:dyDescent="0.3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5" x14ac:dyDescent="0.3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5" x14ac:dyDescent="0.3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5" x14ac:dyDescent="0.3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5" x14ac:dyDescent="0.3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5" x14ac:dyDescent="0.3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5" x14ac:dyDescent="0.3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5" x14ac:dyDescent="0.3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5" x14ac:dyDescent="0.3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5" x14ac:dyDescent="0.3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5" x14ac:dyDescent="0.3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5" x14ac:dyDescent="0.3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5" x14ac:dyDescent="0.3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5" x14ac:dyDescent="0.3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5" x14ac:dyDescent="0.3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5" x14ac:dyDescent="0.3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5" x14ac:dyDescent="0.3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5" x14ac:dyDescent="0.3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5" x14ac:dyDescent="0.3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5" x14ac:dyDescent="0.3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5" x14ac:dyDescent="0.3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5" x14ac:dyDescent="0.3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5" x14ac:dyDescent="0.3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5" x14ac:dyDescent="0.3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5" x14ac:dyDescent="0.3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5" x14ac:dyDescent="0.3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5" x14ac:dyDescent="0.3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5" x14ac:dyDescent="0.3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5" x14ac:dyDescent="0.3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5" x14ac:dyDescent="0.3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5" x14ac:dyDescent="0.3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5" x14ac:dyDescent="0.3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5" x14ac:dyDescent="0.3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5" x14ac:dyDescent="0.3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5" x14ac:dyDescent="0.3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5" x14ac:dyDescent="0.3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5" x14ac:dyDescent="0.3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5" x14ac:dyDescent="0.3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5" x14ac:dyDescent="0.3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5" x14ac:dyDescent="0.3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5" x14ac:dyDescent="0.3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5" x14ac:dyDescent="0.3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5" x14ac:dyDescent="0.3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5" x14ac:dyDescent="0.3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5" x14ac:dyDescent="0.3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5" x14ac:dyDescent="0.3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5" x14ac:dyDescent="0.3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5" x14ac:dyDescent="0.3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5" x14ac:dyDescent="0.3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5" x14ac:dyDescent="0.3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5" x14ac:dyDescent="0.3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5" x14ac:dyDescent="0.3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5" x14ac:dyDescent="0.3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5" x14ac:dyDescent="0.3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5" x14ac:dyDescent="0.3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5" x14ac:dyDescent="0.3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5" x14ac:dyDescent="0.3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5" x14ac:dyDescent="0.3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5" x14ac:dyDescent="0.3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5" x14ac:dyDescent="0.3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5" x14ac:dyDescent="0.3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5" x14ac:dyDescent="0.3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5" x14ac:dyDescent="0.3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5" x14ac:dyDescent="0.3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5" x14ac:dyDescent="0.3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5" x14ac:dyDescent="0.3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5" x14ac:dyDescent="0.3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5" x14ac:dyDescent="0.3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5" x14ac:dyDescent="0.3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5" x14ac:dyDescent="0.3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5" x14ac:dyDescent="0.3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5" x14ac:dyDescent="0.3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5" x14ac:dyDescent="0.3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5" x14ac:dyDescent="0.3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5" x14ac:dyDescent="0.3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5" x14ac:dyDescent="0.3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5" x14ac:dyDescent="0.3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5" x14ac:dyDescent="0.3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5" x14ac:dyDescent="0.3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5" x14ac:dyDescent="0.3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5" x14ac:dyDescent="0.3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5" x14ac:dyDescent="0.3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5" x14ac:dyDescent="0.3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5" x14ac:dyDescent="0.3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5" x14ac:dyDescent="0.3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5" x14ac:dyDescent="0.3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5" x14ac:dyDescent="0.3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5" x14ac:dyDescent="0.3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5" x14ac:dyDescent="0.3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5" x14ac:dyDescent="0.3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5" x14ac:dyDescent="0.3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5" x14ac:dyDescent="0.3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5" x14ac:dyDescent="0.3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5" x14ac:dyDescent="0.3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5" x14ac:dyDescent="0.3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5" x14ac:dyDescent="0.3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5" x14ac:dyDescent="0.3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5" x14ac:dyDescent="0.3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5" x14ac:dyDescent="0.3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5" x14ac:dyDescent="0.3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5" x14ac:dyDescent="0.3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5" x14ac:dyDescent="0.3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5" x14ac:dyDescent="0.3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5" x14ac:dyDescent="0.3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5" x14ac:dyDescent="0.3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5" x14ac:dyDescent="0.3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5" x14ac:dyDescent="0.3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5" x14ac:dyDescent="0.3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5" x14ac:dyDescent="0.3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5" x14ac:dyDescent="0.3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5" x14ac:dyDescent="0.3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5" x14ac:dyDescent="0.3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5" x14ac:dyDescent="0.3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5" x14ac:dyDescent="0.3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5" x14ac:dyDescent="0.3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5" x14ac:dyDescent="0.3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5" x14ac:dyDescent="0.3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5" x14ac:dyDescent="0.3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5" x14ac:dyDescent="0.3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117:C117"/>
    <mergeCell ref="A83:D83"/>
    <mergeCell ref="A87:C87"/>
    <mergeCell ref="A88:C88"/>
    <mergeCell ref="A89:C89"/>
    <mergeCell ref="A90:C90"/>
    <mergeCell ref="A91:C91"/>
    <mergeCell ref="A95:C95"/>
    <mergeCell ref="A96:C96"/>
    <mergeCell ref="A97:C97"/>
    <mergeCell ref="A98:C98"/>
    <mergeCell ref="A116:C116"/>
    <mergeCell ref="L42:N42"/>
    <mergeCell ref="P42:R42"/>
    <mergeCell ref="A78:D78"/>
    <mergeCell ref="A79:D79"/>
    <mergeCell ref="A80:D80"/>
    <mergeCell ref="A82:D82"/>
    <mergeCell ref="A35:E35"/>
    <mergeCell ref="A36:E36"/>
    <mergeCell ref="A37:E37"/>
    <mergeCell ref="A38:E38"/>
    <mergeCell ref="A42:B42"/>
    <mergeCell ref="C42:D42"/>
    <mergeCell ref="E42:K42"/>
    <mergeCell ref="A34:E34"/>
    <mergeCell ref="A21:E21"/>
    <mergeCell ref="A22:E22"/>
    <mergeCell ref="A23:E23"/>
    <mergeCell ref="A24:E24"/>
    <mergeCell ref="A27:E27"/>
    <mergeCell ref="A28:E28"/>
    <mergeCell ref="A29:E29"/>
    <mergeCell ref="A30:E30"/>
    <mergeCell ref="A31:E31"/>
    <mergeCell ref="A32:E32"/>
    <mergeCell ref="A33:E33"/>
    <mergeCell ref="A20:E20"/>
    <mergeCell ref="A4:H4"/>
    <mergeCell ref="A9:H9"/>
    <mergeCell ref="A10:E10"/>
    <mergeCell ref="A11:E11"/>
    <mergeCell ref="A12:E12"/>
    <mergeCell ref="A13:E13"/>
    <mergeCell ref="A14:E14"/>
    <mergeCell ref="A15:E15"/>
    <mergeCell ref="A16:E16"/>
    <mergeCell ref="A18:E18"/>
    <mergeCell ref="A19:E19"/>
  </mergeCells>
  <hyperlinks>
    <hyperlink ref="I89" r:id="rId1" xr:uid="{D6327C38-05FD-4820-BB39-C167988745FE}"/>
    <hyperlink ref="I91" r:id="rId2" xr:uid="{F660EC2D-8B06-4D19-BEB1-216FA9E44D2B}"/>
    <hyperlink ref="I87" r:id="rId3" xr:uid="{AED160C8-FB89-4797-8E80-9779D4B81E64}"/>
    <hyperlink ref="I88" r:id="rId4" xr:uid="{3FC15099-D8F7-4D05-8916-5E6A8A08A772}"/>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Kansilehti</vt:lpstr>
      <vt:lpstr>Kohteen järjes. kannattavuus</vt:lpstr>
      <vt:lpstr>IVLP 20v kannattavuus</vt:lpstr>
      <vt:lpstr>MLP 25v kannattavuus</vt:lpstr>
      <vt:lpstr>PV 30v kannattavuus 10</vt:lpstr>
      <vt:lpstr>PV 30v kannattavuus 20</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Ala-Ketola Ulla</cp:lastModifiedBy>
  <dcterms:created xsi:type="dcterms:W3CDTF">2020-04-22T10:23:42Z</dcterms:created>
  <dcterms:modified xsi:type="dcterms:W3CDTF">2025-04-30T07:01:34Z</dcterms:modified>
</cp:coreProperties>
</file>