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ämäTyökirja" defaultThemeVersion="124226"/>
  <mc:AlternateContent xmlns:mc="http://schemas.openxmlformats.org/markup-compatibility/2006">
    <mc:Choice Requires="x15">
      <x15ac:absPath xmlns:x15ac="http://schemas.microsoft.com/office/spreadsheetml/2010/11/ac" url="\\kk11\alaketola$\Documents\Liitetiedostot\"/>
    </mc:Choice>
  </mc:AlternateContent>
  <xr:revisionPtr revIDLastSave="0" documentId="8_{CE0B493F-0863-461E-98C9-4A8D6C467147}" xr6:coauthVersionLast="47" xr6:coauthVersionMax="47" xr10:uidLastSave="{00000000-0000-0000-0000-000000000000}"/>
  <bookViews>
    <workbookView xWindow="-110" yWindow="-110" windowWidth="19420" windowHeight="10300" firstSheet="3" activeTab="5" xr2:uid="{00000000-000D-0000-FFFF-FFFF00000000}"/>
  </bookViews>
  <sheets>
    <sheet name="Ruoka" sheetId="3" state="hidden" r:id="rId1"/>
    <sheet name="Kuljetukset" sheetId="4" state="hidden" r:id="rId2"/>
    <sheet name="Keittiöt" sheetId="9" state="hidden" r:id="rId3"/>
    <sheet name="Read_me" sheetId="10" r:id="rId4"/>
    <sheet name="Laskuri" sheetId="7" r:id="rId5"/>
    <sheet name="Lähtöoletukset" sheetId="11" r:id="rId6"/>
  </sheets>
  <definedNames>
    <definedName name="_xlnm._FilterDatabase" localSheetId="1" hidden="1">Kuljetukset!$A$28:$D$28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4" l="1"/>
  <c r="H19" i="7"/>
  <c r="S9" i="7" l="1"/>
  <c r="C41" i="3"/>
  <c r="C36" i="3"/>
  <c r="B27" i="3"/>
  <c r="B28" i="3"/>
  <c r="J42" i="3" l="1"/>
  <c r="Z14" i="7" s="1"/>
  <c r="B52" i="3"/>
  <c r="P47" i="4"/>
  <c r="G56" i="4" s="1"/>
  <c r="H24" i="3"/>
  <c r="R42" i="4"/>
  <c r="K26" i="9"/>
  <c r="K25" i="9"/>
  <c r="T20" i="9"/>
  <c r="Q20" i="9"/>
  <c r="K15" i="9"/>
  <c r="K10" i="9"/>
  <c r="C6" i="9"/>
  <c r="B6" i="9"/>
  <c r="C11" i="11"/>
  <c r="F6" i="9"/>
  <c r="J43" i="3" l="1"/>
  <c r="Z15" i="7" s="1"/>
  <c r="Z22" i="7" s="1"/>
  <c r="O14" i="7"/>
  <c r="S14" i="7" s="1"/>
  <c r="T14" i="7" s="1"/>
  <c r="M10" i="9"/>
  <c r="M11" i="9" s="1"/>
  <c r="Z13" i="7"/>
  <c r="K11" i="9"/>
  <c r="I24" i="3"/>
  <c r="J24" i="3" s="1"/>
  <c r="Z21" i="7" l="1"/>
  <c r="O13" i="7"/>
  <c r="I25" i="3"/>
  <c r="H25" i="3"/>
  <c r="T10" i="9"/>
  <c r="L14" i="7" l="1"/>
  <c r="G50" i="4" l="1"/>
  <c r="H50" i="4" s="1"/>
  <c r="K50" i="4" l="1"/>
  <c r="I50" i="4"/>
  <c r="J50" i="4"/>
  <c r="O11" i="7" l="1"/>
  <c r="S11" i="7" s="1"/>
  <c r="T11" i="7" s="1"/>
  <c r="E9" i="7"/>
  <c r="K38" i="9"/>
  <c r="K36" i="9"/>
  <c r="K41" i="9" l="1"/>
  <c r="K42" i="9"/>
  <c r="M41" i="9"/>
  <c r="O41" i="9" s="1"/>
  <c r="M42" i="9"/>
  <c r="O42" i="9" s="1"/>
  <c r="K44" i="9" l="1"/>
  <c r="M44" i="9" s="1"/>
  <c r="O44" i="9" s="1"/>
  <c r="K43" i="9"/>
  <c r="M43" i="9" s="1"/>
  <c r="O43" i="9" s="1"/>
  <c r="B50" i="3"/>
  <c r="K47" i="9" l="1"/>
  <c r="E24" i="7"/>
  <c r="H14" i="7" l="1"/>
  <c r="E14" i="7" s="1"/>
  <c r="M15" i="9"/>
  <c r="M16" i="9" s="1"/>
  <c r="T11" i="9"/>
  <c r="Q24" i="9"/>
  <c r="K16" i="9"/>
  <c r="B16" i="9"/>
  <c r="B12" i="9"/>
  <c r="B11" i="9"/>
  <c r="B10" i="9"/>
  <c r="C1" i="9"/>
  <c r="C2" i="9" s="1"/>
  <c r="C5" i="9" s="1"/>
  <c r="B18" i="9" l="1"/>
  <c r="B5" i="9"/>
  <c r="E6" i="9"/>
  <c r="K46" i="9"/>
  <c r="M46" i="9" s="1"/>
  <c r="O46" i="9" s="1"/>
  <c r="O47" i="9" s="1"/>
  <c r="N10" i="9"/>
  <c r="N11" i="9"/>
  <c r="N12" i="9" s="1"/>
  <c r="Z10" i="7" s="1"/>
  <c r="O10" i="7" s="1"/>
  <c r="S10" i="7" s="1"/>
  <c r="T10" i="7" s="1"/>
  <c r="R15" i="9"/>
  <c r="R16" i="9" s="1"/>
  <c r="T16" i="9"/>
  <c r="T15" i="9"/>
  <c r="N15" i="9"/>
  <c r="N16" i="9"/>
  <c r="M47" i="9" l="1"/>
  <c r="P11" i="7"/>
  <c r="W11" i="7" s="1"/>
  <c r="U16" i="9"/>
  <c r="U15" i="9"/>
  <c r="N17" i="9"/>
  <c r="Z12" i="7" l="1"/>
  <c r="K20" i="9"/>
  <c r="N20" i="9" s="1"/>
  <c r="Q11" i="7"/>
  <c r="X11" i="7"/>
  <c r="U17" i="9"/>
  <c r="E19" i="7"/>
  <c r="L21" i="7"/>
  <c r="H21" i="7"/>
  <c r="E21" i="7" s="1"/>
  <c r="H51" i="4"/>
  <c r="G33" i="4"/>
  <c r="G32" i="4"/>
  <c r="O12" i="7" l="1"/>
  <c r="S12" i="7" s="1"/>
  <c r="T12" i="7" s="1"/>
  <c r="Z20" i="7"/>
  <c r="P12" i="7"/>
  <c r="X12" i="7" s="1"/>
  <c r="M20" i="9"/>
  <c r="L20" i="9"/>
  <c r="P48" i="4"/>
  <c r="P43" i="4"/>
  <c r="I51" i="4"/>
  <c r="G42" i="4"/>
  <c r="G41" i="4"/>
  <c r="G34" i="4"/>
  <c r="H34" i="4" s="1"/>
  <c r="K34" i="4" l="1"/>
  <c r="I34" i="4"/>
  <c r="J34" i="4"/>
  <c r="H35" i="4"/>
  <c r="R43" i="4"/>
  <c r="Q12" i="7"/>
  <c r="O20" i="7"/>
  <c r="S20" i="7" s="1"/>
  <c r="T20" i="7" s="1"/>
  <c r="W12" i="7"/>
  <c r="I35" i="4"/>
  <c r="J51" i="4"/>
  <c r="G43" i="4"/>
  <c r="E26" i="7"/>
  <c r="L7" i="7"/>
  <c r="H7" i="7"/>
  <c r="C35" i="3"/>
  <c r="C34" i="3"/>
  <c r="R48" i="4" l="1"/>
  <c r="G57" i="4"/>
  <c r="R45" i="4" s="1"/>
  <c r="R47" i="4" s="1"/>
  <c r="H43" i="4"/>
  <c r="G54" i="4"/>
  <c r="C39" i="3"/>
  <c r="F39" i="3" s="1"/>
  <c r="C42" i="3" s="1"/>
  <c r="P15" i="7" s="1"/>
  <c r="X15" i="7" s="1"/>
  <c r="K51" i="4"/>
  <c r="P13" i="7"/>
  <c r="R10" i="9"/>
  <c r="U10" i="9" s="1"/>
  <c r="E7" i="7"/>
  <c r="K35" i="4"/>
  <c r="J35" i="4"/>
  <c r="K43" i="4" l="1"/>
  <c r="J43" i="4"/>
  <c r="J44" i="4" s="1"/>
  <c r="I43" i="4"/>
  <c r="I44" i="4" s="1"/>
  <c r="H44" i="4"/>
  <c r="E39" i="3"/>
  <c r="X13" i="7"/>
  <c r="X21" i="7" s="1"/>
  <c r="P21" i="7"/>
  <c r="W13" i="7"/>
  <c r="W21" i="7" s="1"/>
  <c r="R11" i="9"/>
  <c r="U11" i="9" s="1"/>
  <c r="D39" i="3"/>
  <c r="K44" i="4"/>
  <c r="P14" i="7" l="1"/>
  <c r="X14" i="7" s="1"/>
  <c r="U12" i="9"/>
  <c r="K21" i="9" s="1"/>
  <c r="P10" i="7" l="1"/>
  <c r="P22" i="7"/>
  <c r="W14" i="7"/>
  <c r="W15" i="7"/>
  <c r="L21" i="9"/>
  <c r="X10" i="7" l="1"/>
  <c r="X20" i="7" s="1"/>
  <c r="W10" i="7"/>
  <c r="W20" i="7" s="1"/>
  <c r="Q10" i="7"/>
  <c r="P16" i="7"/>
  <c r="P20" i="7"/>
  <c r="Q20" i="7" s="1"/>
  <c r="X22" i="7"/>
  <c r="W22" i="7"/>
  <c r="M21" i="9"/>
  <c r="N21" i="9"/>
  <c r="S13" i="7"/>
  <c r="T13" i="7" s="1"/>
  <c r="Q13" i="7" l="1"/>
  <c r="W16" i="7"/>
  <c r="W23" i="7"/>
  <c r="X16" i="7"/>
  <c r="X23" i="7"/>
  <c r="P23" i="7"/>
  <c r="O21" i="7"/>
  <c r="Q21" i="7" s="1"/>
  <c r="S21" i="7" l="1"/>
  <c r="T21" i="7" s="1"/>
  <c r="Z16" i="7"/>
  <c r="O15" i="7"/>
  <c r="S15" i="7" s="1"/>
  <c r="T15" i="7" s="1"/>
  <c r="Z23" i="7"/>
  <c r="Q14" i="7" l="1"/>
  <c r="Q15" i="7"/>
  <c r="O16" i="7"/>
  <c r="S16" i="7" s="1"/>
  <c r="T16" i="7" s="1"/>
  <c r="O22" i="7"/>
  <c r="Q22" i="7" s="1"/>
  <c r="Q16" i="7" l="1"/>
  <c r="S22" i="7"/>
  <c r="T22" i="7" s="1"/>
  <c r="O23" i="7"/>
  <c r="Q23" i="7" s="1"/>
  <c r="S23" i="7" l="1"/>
  <c r="T2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Lounasheimo Johannes</author>
  </authors>
  <commentList>
    <comment ref="B6" authorId="0" shapeId="0" xr:uid="{00000000-0006-0000-0200-000001000000}">
      <text>
        <r>
          <rPr>
            <sz val="11"/>
            <color indexed="81"/>
            <rFont val="Tahoma"/>
            <family val="2"/>
          </rPr>
          <t xml:space="preserve">Alueiden 4 ja 5 syyskuun sähkönkulutuksista laskettu.
</t>
        </r>
      </text>
    </comment>
    <comment ref="C6" authorId="0" shapeId="0" xr:uid="{00000000-0006-0000-0200-000002000000}">
      <text>
        <r>
          <rPr>
            <sz val="11"/>
            <color indexed="81"/>
            <rFont val="Tahoma"/>
            <family val="2"/>
          </rPr>
          <t xml:space="preserve">Laskettu Arkeologinkadun päiväkodin ja Jäkärlän koulun
lämmönkulutusten (kWh/m3/a) ja keittiöiden tilavuuksien perusteella.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Lounasheimo Johannes</author>
  </authors>
  <commentList>
    <comment ref="C7" authorId="0" shapeId="0" xr:uid="{00000000-0006-0000-0400-000001000000}">
      <text>
        <r>
          <rPr>
            <sz val="11"/>
            <color indexed="81"/>
            <rFont val="Tahoma"/>
            <family val="2"/>
          </rPr>
          <t>ml. valaistus ja IV-koneet</t>
        </r>
      </text>
    </comment>
    <comment ref="C9" authorId="0" shapeId="0" xr:uid="{00000000-0006-0000-0400-000002000000}">
      <text>
        <r>
          <rPr>
            <sz val="12"/>
            <color indexed="81"/>
            <rFont val="Tahoma"/>
            <family val="2"/>
          </rPr>
          <t>Kuinka suuri osuus aterioista jäähdytetään ja lämmitetään uudelleen.</t>
        </r>
      </text>
    </comment>
    <comment ref="E11" authorId="0" shapeId="0" xr:uid="{00000000-0006-0000-0400-000003000000}">
      <text>
        <r>
          <rPr>
            <sz val="9"/>
            <color indexed="81"/>
            <rFont val="Tahoma"/>
            <family val="2"/>
          </rPr>
          <t xml:space="preserve">KYLLÄ = kaikkiin kiinteistöihin, joissa ruokapalvelut toimivat, hankitaan vihreää, päästötöntä sähköä.
EI = kiinteistöissä ei ole vihreä sähkö käytössä.
</t>
        </r>
      </text>
    </comment>
    <comment ref="C14" authorId="0" shapeId="0" xr:uid="{00000000-0006-0000-0400-000004000000}">
      <text>
        <r>
          <rPr>
            <sz val="11"/>
            <color indexed="81"/>
            <rFont val="Tahoma"/>
            <family val="2"/>
          </rPr>
          <t>Uusi = energiaremontti/energiatehokkuustoimenpiteitä  tehty (tai kiinteistö on uusi ja energiatehokas) 
Vanha = lämmitysenergiantarpeeseen ei ole kiinnitetty huomiota.
Huom. myös lämpimän veden käyttö vaikuttaa.</t>
        </r>
      </text>
    </comment>
    <comment ref="E16" authorId="0" shapeId="0" xr:uid="{00000000-0006-0000-0400-000005000000}">
      <text>
        <r>
          <rPr>
            <sz val="9"/>
            <color indexed="81"/>
            <rFont val="Tahoma"/>
            <family val="2"/>
          </rPr>
          <t xml:space="preserve">KYLLÄ = kiinteistöihin, joissa ruokapalvelut toimivat, hankitaan vihreää, päästöttömäksi laskettavaa kaukolämpöä ja/tai kiinteistöjen lämmitys on toteutettu lämpöpumpuilla ja vihreällä sähköllä tai muilla tavoin päästöttömästi.
EI = kiinteistöissä 'normaali' kaukolämpö ja/tai sähkö.
</t>
        </r>
      </text>
    </comment>
  </commentList>
</comments>
</file>

<file path=xl/sharedStrings.xml><?xml version="1.0" encoding="utf-8"?>
<sst xmlns="http://schemas.openxmlformats.org/spreadsheetml/2006/main" count="420" uniqueCount="260">
  <si>
    <t>Alue 5</t>
  </si>
  <si>
    <t>Turun Lyseon koulu/lukio</t>
  </si>
  <si>
    <t>Varusmestarintie 19, Turku</t>
  </si>
  <si>
    <t>http://foodweb.ut.ee/foodplate/?lang=fi</t>
  </si>
  <si>
    <t xml:space="preserve">Tuotantoalue 4 Kasvisruokailijat  
Varhaiskasvatus:                        2% kasvisruokailijoita  kokonaisruokailija määrästä  
Alakoulut:                                    4% kasvisruokailijoita kokonaisruokailija määrästä 
Yläkoulu:                                       7% kasvisruokailijoita kokonaisruokailija määrästä 
Tuotantoalue 5 
Varhaiskasvatus:                        3,7 % osuus koko määrästä 
Alakoulu:                                       4,8 &amp; osuus koko määrästä                                  
Yläkoulu/ lukio:                           4,2 % osuus koko määrästä 
</t>
  </si>
  <si>
    <t>Maanantai 1.10.2018</t>
  </si>
  <si>
    <t>CO2-päästöt (kg)</t>
  </si>
  <si>
    <t>Lounas Nakkikastike M,L,K, Keitetty peruna</t>
  </si>
  <si>
    <t>Kasvislounas Kurpitsainen linssipata M,L,G,K,S,VEG, Keitetty peruna</t>
  </si>
  <si>
    <t>(Soijapihvit muusilla, ilman maitoa ja kermaviiliä)</t>
  </si>
  <si>
    <t>Tiistai 2.10.2018</t>
  </si>
  <si>
    <t>Lounas Broileri-perunavuoka L,G,K,S</t>
  </si>
  <si>
    <t>(Broilerifilee perunoilla)</t>
  </si>
  <si>
    <t>Kasvislounas Punajuuri-sinihomejuustokiusaus L,G,K,S</t>
  </si>
  <si>
    <t>(Kasviskiusaus salaatilla)</t>
  </si>
  <si>
    <t>Keskiviikko 3.10.2018</t>
  </si>
  <si>
    <t>Lounas Ohrasuurimopuuro L,K,S, Vadelmakiisseli M,L,G,K,S,VEG, Juustoviipale L,G,K,S</t>
  </si>
  <si>
    <t>(Ohrauunipuuro)</t>
  </si>
  <si>
    <t>Kasvislounas Mausteinen linssikeitto M,L,G,K,S,VEG, Juustoviipale L,G,K,S</t>
  </si>
  <si>
    <t>(Kasvissosekeitto, ilman sulatejuustoa, rahkaa, kermaa, maitoa)</t>
  </si>
  <si>
    <t>Torstai 4.10.2018</t>
  </si>
  <si>
    <t>Lounas Tonnikalapastavuoka L,K,S</t>
  </si>
  <si>
    <t>(Tonnikalalasagne, ilman appelsiinia)</t>
  </si>
  <si>
    <t>Kasvislounas Kahden kaalin pastavuoka L,K,S</t>
  </si>
  <si>
    <t>(Sienikastike perunoilla, ilman maitoa ja tupla-annosta kermaa)</t>
  </si>
  <si>
    <t>Perjantai 5.10.2018</t>
  </si>
  <si>
    <t>Lounas Lihapyörykät ruskeassa kastikkeessa M,L,K, Keitetty peruna</t>
  </si>
  <si>
    <t>(Lihapullat perunamuusilla)</t>
  </si>
  <si>
    <t>Kasvislounas Intialainen kasviscurry M,L,G,K,S,VEG, Keitetty peruna</t>
  </si>
  <si>
    <t>(Chili sin carne)</t>
  </si>
  <si>
    <t>Liha-annos keskimäärin</t>
  </si>
  <si>
    <t>kgCO2</t>
  </si>
  <si>
    <t>Kasvisannos keskimäärin</t>
  </si>
  <si>
    <t>KHK-päästöt</t>
  </si>
  <si>
    <t>Ruokakuljetuksiin käytettävä kuljetuspalveluntuottajan kalusto (palvelualueet 1-5): </t>
  </si>
  <si>
    <t>Merkki/malli</t>
  </si>
  <si>
    <t>VM</t>
  </si>
  <si>
    <t>Tilavuus</t>
  </si>
  <si>
    <t>MB Sprinter</t>
  </si>
  <si>
    <t>FUSO</t>
  </si>
  <si>
    <t>MB Atego</t>
  </si>
  <si>
    <t>Keittiöt</t>
  </si>
  <si>
    <t>Laitekanta</t>
  </si>
  <si>
    <t>Jakelu</t>
  </si>
  <si>
    <t>Autot</t>
  </si>
  <si>
    <t>Ruokahävikki</t>
  </si>
  <si>
    <t>Kasvisateriat</t>
  </si>
  <si>
    <t>Ruokailijat</t>
  </si>
  <si>
    <t>Ruoka</t>
  </si>
  <si>
    <t>kpl</t>
  </si>
  <si>
    <t>Motiva:</t>
  </si>
  <si>
    <t>Suomessa toimii noin 22 000 ammattikeittiötä, joissa valmistetaan vuoden aikana yli 810 miljoonaa ateriaa. Suomen ammattikeittiöt kuluttavat sähköä ja lämpöä vuoden aikana arviolta 2,4 terawattituntia, josta sähkön osuus on noin 641 GWh (35 %).</t>
  </si>
  <si>
    <t>Sähkö</t>
  </si>
  <si>
    <t>Lämpö</t>
  </si>
  <si>
    <t>Keittiö (MWh/vuosi)</t>
  </si>
  <si>
    <t>Ateria (kWh)</t>
  </si>
  <si>
    <t>Valaistus</t>
  </si>
  <si>
    <t>GWh</t>
  </si>
  <si>
    <t>Aterioiden valmistus</t>
  </si>
  <si>
    <t>Kylmäsäilytys</t>
  </si>
  <si>
    <t>Astioiden pesu</t>
  </si>
  <si>
    <t>Lämmitys</t>
  </si>
  <si>
    <t>prosenttia sähköstä</t>
  </si>
  <si>
    <t>IV-puhaltimet (sähkö)</t>
  </si>
  <si>
    <t>Muu kuin ruoanvalmistus</t>
  </si>
  <si>
    <t>Yht.</t>
  </si>
  <si>
    <t>kWh</t>
  </si>
  <si>
    <t>Laskenta</t>
  </si>
  <si>
    <t>Kulutussähkö</t>
  </si>
  <si>
    <t>2017 ennakko</t>
  </si>
  <si>
    <t>Turku Energia 2016</t>
  </si>
  <si>
    <t>Päästökertoimet (Hinku-laskennat)</t>
  </si>
  <si>
    <t>gCO2/kWh</t>
  </si>
  <si>
    <t>Päästöt</t>
  </si>
  <si>
    <t>Päivä</t>
  </si>
  <si>
    <t>Viikko</t>
  </si>
  <si>
    <t>Kuukausi</t>
  </si>
  <si>
    <t>Vuosi</t>
  </si>
  <si>
    <t>päivää</t>
  </si>
  <si>
    <t>tCO2</t>
  </si>
  <si>
    <t>%</t>
  </si>
  <si>
    <t>Jakelukeittiötä</t>
  </si>
  <si>
    <t>Valmistus- ja palvelukeittiötä</t>
  </si>
  <si>
    <t>Uusi laitekanta</t>
  </si>
  <si>
    <t>Uusi laitekanta kuluttaa</t>
  </si>
  <si>
    <t>per annos</t>
  </si>
  <si>
    <t>Uusi tilanne</t>
  </si>
  <si>
    <t>Vanha laitekanta</t>
  </si>
  <si>
    <t>Alkuperäinen</t>
  </si>
  <si>
    <t>Ateriat</t>
  </si>
  <si>
    <t>Luolavuoren koulu, Luolavuoren yks</t>
  </si>
  <si>
    <t>Luostarivuoren koulu ja lukio</t>
  </si>
  <si>
    <t>Alue 4 uusi</t>
  </si>
  <si>
    <t xml:space="preserve">Alue 4 </t>
  </si>
  <si>
    <t xml:space="preserve"> </t>
  </si>
  <si>
    <t>Kuljetus</t>
  </si>
  <si>
    <t>Kohteet</t>
  </si>
  <si>
    <t>Km</t>
  </si>
  <si>
    <t>km</t>
  </si>
  <si>
    <t>Lyseo</t>
  </si>
  <si>
    <t>astiat</t>
  </si>
  <si>
    <t>Yli-Maaria</t>
  </si>
  <si>
    <t>Pieni jakelukuorma-auto</t>
  </si>
  <si>
    <t>Kokonaismassa 6 t, kantavuus 3.5 t</t>
  </si>
  <si>
    <t>Jakeluajo</t>
  </si>
  <si>
    <t>Maantieajon osuus</t>
  </si>
  <si>
    <t>Oletuskalusto</t>
  </si>
  <si>
    <t>http://lipasto.vtt.fi/yksikkopaastot/tavaraliikenne/tieliikenne/kajakpienijakelu.htm</t>
  </si>
  <si>
    <r>
      <t>CO</t>
    </r>
    <r>
      <rPr>
        <b/>
        <vertAlign val="subscript"/>
        <sz val="9"/>
        <color rgb="FF000000"/>
        <rFont val="Arial"/>
        <family val="2"/>
      </rPr>
      <t>2</t>
    </r>
  </si>
  <si>
    <t>ekv. [g/km]</t>
  </si>
  <si>
    <t>Päästötaso</t>
  </si>
  <si>
    <t>tyhjä</t>
  </si>
  <si>
    <t> täysi kuorma (3.5 t)</t>
  </si>
  <si>
    <t>--&gt; 1993</t>
  </si>
  <si>
    <t>EURO I (1994 - 1995)</t>
  </si>
  <si>
    <t>EURO II (1996 - 2000)</t>
  </si>
  <si>
    <t>EURO III (2001 - 2005)</t>
  </si>
  <si>
    <t>EURO IV (2006 - 2008)</t>
  </si>
  <si>
    <t>EURO V (2009 - 2014 )</t>
  </si>
  <si>
    <t>EURO VI (2015 --&gt;</t>
  </si>
  <si>
    <t>keskimäärin v. 2016</t>
  </si>
  <si>
    <t>Päästöt (tCO2-ekv.)</t>
  </si>
  <si>
    <t>Krt/vko</t>
  </si>
  <si>
    <t xml:space="preserve">Kuukausi </t>
  </si>
  <si>
    <t>Kuljetussuunnitelman mukaan. Cygnaeus ja Klassinen lukio 'omavaraisia'. Runosmäen nuorisotalo ei mukana (vain välipala). Lähtö Arkea/Kupittaalta.</t>
  </si>
  <si>
    <t>Kuljetussuunnitelman mukaan. Yli-Maarian koulu ja Paattinen 'omavaraisia'. Lähtö Arkea/Kupittaalta.</t>
  </si>
  <si>
    <t>Kuljetussuunnitelman mukaan. Myös Paattisiin. Yli-Maarian koulu 'omavarainen'. Jäkärlän koulu siirrettu 1 -&gt; 2.</t>
  </si>
  <si>
    <t>ruokailijoita</t>
  </si>
  <si>
    <t>Per annos (gCO2)</t>
  </si>
  <si>
    <t>Per annos gCO2/vuosi keskimäärin</t>
  </si>
  <si>
    <t>LASKURI</t>
  </si>
  <si>
    <t>Diesel</t>
  </si>
  <si>
    <t>Päästöt (tCO2/a)</t>
  </si>
  <si>
    <t>% vähemmän sähköä kuin vanha</t>
  </si>
  <si>
    <t>% vähemmän lämmitysenergiaa</t>
  </si>
  <si>
    <t>Energiatehokkuustoimenpiteet</t>
  </si>
  <si>
    <t xml:space="preserve">Vanha </t>
  </si>
  <si>
    <t>Tässä keittiötyyppien muutos ei vaikuta.</t>
  </si>
  <si>
    <t>Annosmäärä</t>
  </si>
  <si>
    <t>Ruokapalveluiden hiilijalanjäljen laskentatyökalu</t>
  </si>
  <si>
    <t>Uusi laitekanta kuluttaa 50 % vähemmän sähköä kuin vanha. Energiaremontoitu kiinteistö kuluttaa 30 % vähemmän kuin vanha.</t>
  </si>
  <si>
    <t>Motiva</t>
  </si>
  <si>
    <t>Specific heat capacity of water</t>
  </si>
  <si>
    <t>kJ/kg K</t>
  </si>
  <si>
    <t>C</t>
  </si>
  <si>
    <t>kg</t>
  </si>
  <si>
    <t>Required temperature</t>
  </si>
  <si>
    <t>deltaT (temperature difference)</t>
  </si>
  <si>
    <t>K</t>
  </si>
  <si>
    <t>Efficiency of the heater</t>
  </si>
  <si>
    <t>kJ</t>
  </si>
  <si>
    <t>Wh</t>
  </si>
  <si>
    <t>gCO2</t>
  </si>
  <si>
    <t>ateriaa</t>
  </si>
  <si>
    <t>g/syöty annos/päivä</t>
  </si>
  <si>
    <t>Portion size (excluding cold components)</t>
  </si>
  <si>
    <t>Emission factor of the electricity</t>
  </si>
  <si>
    <t>COP of refridgerator</t>
  </si>
  <si>
    <t>Temperature of the raw product</t>
  </si>
  <si>
    <t>Linjasto- ja valmistushävikki, keskimäärin alueet 4 &amp; 5</t>
  </si>
  <si>
    <t>Linjasto- ja valmistushävikki-%</t>
  </si>
  <si>
    <t>Päästöt tCO2</t>
  </si>
  <si>
    <t>tCO2/vuosi</t>
  </si>
  <si>
    <t>Kasvisaterioiden osuus</t>
  </si>
  <si>
    <t>Sähkönkulutus</t>
  </si>
  <si>
    <t>Lämmönkulutus</t>
  </si>
  <si>
    <t>Lautashävikki, arvio 4-8 % (LUKE)</t>
  </si>
  <si>
    <t>Hävikki yhteensä</t>
  </si>
  <si>
    <t>Keskimääräinen valmistettu annoskoko</t>
  </si>
  <si>
    <t>g/ruokailu, sis. lisäkkeet, leivän ja jälkiruoan</t>
  </si>
  <si>
    <t>Lämmitys per annos</t>
  </si>
  <si>
    <t>Jäähdytys per annos</t>
  </si>
  <si>
    <t>Cook &amp; Chill (lämmitys+jäähdytys+lämmitys)</t>
  </si>
  <si>
    <t>Näitä arvoja voi muuttaa tapauskohtaisesti</t>
  </si>
  <si>
    <t>Cook &amp; Chill (jäähdytys+lämmitys)</t>
  </si>
  <si>
    <t xml:space="preserve">Lisäenergiankulutus </t>
  </si>
  <si>
    <t>Ruokahävikki - oletus</t>
  </si>
  <si>
    <t xml:space="preserve">Oletus: Laitekanta ja energiatehokkuus 70/30 (uusi vs. vanha). </t>
  </si>
  <si>
    <t>Cook &amp; chill</t>
  </si>
  <si>
    <t>Cook &amp; chill -osuus</t>
  </si>
  <si>
    <t>Oletus</t>
  </si>
  <si>
    <t>Cook &amp; chill -osuus, oletus</t>
  </si>
  <si>
    <t>Kuljetuskerrat, oletus</t>
  </si>
  <si>
    <t>Kalusto, oletus</t>
  </si>
  <si>
    <t>Lähtötilanne</t>
  </si>
  <si>
    <t>Lukukaudessa</t>
  </si>
  <si>
    <t>Per ateria</t>
  </si>
  <si>
    <t>gCO2-ekv.</t>
  </si>
  <si>
    <t>tCO2-ekv.</t>
  </si>
  <si>
    <t>KHK-PÄÄSTÖT</t>
  </si>
  <si>
    <t>tCO2-ekv./a</t>
  </si>
  <si>
    <t>Muutos</t>
  </si>
  <si>
    <t>Tavoite -80 %</t>
  </si>
  <si>
    <t>Lähtötilanne, per ateria</t>
  </si>
  <si>
    <t>Vuosimuutos</t>
  </si>
  <si>
    <t>Tarvittava</t>
  </si>
  <si>
    <t>vuosimuutos</t>
  </si>
  <si>
    <t>annosta</t>
  </si>
  <si>
    <t>km/annos</t>
  </si>
  <si>
    <t>g/annos</t>
  </si>
  <si>
    <t>Viikko yhteensä</t>
  </si>
  <si>
    <t>Kasvis</t>
  </si>
  <si>
    <t>Liha</t>
  </si>
  <si>
    <t>Kasvisruoan osuus, kun 5 % on kasvissyöjiä; yksi kasvisruokapäivä.</t>
  </si>
  <si>
    <t>Huom. ei myöskään maitotuotteita.</t>
  </si>
  <si>
    <t>Vihreä sähkö</t>
  </si>
  <si>
    <t>EI</t>
  </si>
  <si>
    <t>KYLLÄ</t>
  </si>
  <si>
    <t>Vihreä lämpö</t>
  </si>
  <si>
    <t>SÄHKÖ</t>
  </si>
  <si>
    <t>LÄMPÖ</t>
  </si>
  <si>
    <t>JAKELU</t>
  </si>
  <si>
    <t>Jakelukerrat</t>
  </si>
  <si>
    <t>RUOKA</t>
  </si>
  <si>
    <t>Energiatehokkuus</t>
  </si>
  <si>
    <t xml:space="preserve">Keittiöiden laitekannasta uutta </t>
  </si>
  <si>
    <t>Kulutussähkön päästökerroin</t>
  </si>
  <si>
    <t>gCO2/kWh (2017 ennakkotieto)</t>
  </si>
  <si>
    <t>gCO2/kWh (2016 Turku Energian kaukolämpö)</t>
  </si>
  <si>
    <t>% vähemmän sähköä kuin vanha.</t>
  </si>
  <si>
    <t xml:space="preserve">Keittiökiinteistöistä </t>
  </si>
  <si>
    <t>% on uusia ja energiatehokkaita, tai niissä on tehty lämmitysenergiantarvetta vähentäviä toimenpiteitä.</t>
  </si>
  <si>
    <t>Energiatehokkuustoimilla saadaan</t>
  </si>
  <si>
    <t>% vähennys energiankulutukseen</t>
  </si>
  <si>
    <t>% (Turku 2018)</t>
  </si>
  <si>
    <t>kWh per ateria</t>
  </si>
  <si>
    <t xml:space="preserve">Lämmönkulutus </t>
  </si>
  <si>
    <t>kWh (Turku 2018; keittiöiden sähkönkulutus jaettuna tarjoiltavien aterioiden määrällä)</t>
  </si>
  <si>
    <t>kWh (Turku 2018; keittiöiden lämmönkulutus jaettuna tarjoiltavien aterioiden määrällä)</t>
  </si>
  <si>
    <t>Kuljetuskaluston päästöt</t>
  </si>
  <si>
    <t>gCO2e/km</t>
  </si>
  <si>
    <t>gCO2e/km (pieni jakelukuorma-auto, jakeluajo, täysi kuorma)</t>
  </si>
  <si>
    <t>Kuljetusmatka</t>
  </si>
  <si>
    <t>km/annos (Turku 2018; kuljetuskilometrit yhteensä jaettuna annosten määrällä)</t>
  </si>
  <si>
    <t>Kasvisruoan osuus</t>
  </si>
  <si>
    <t>% (Turku 2018; 5 % on kasvissyöjiä ja yksi kasvisruokapäivä)</t>
  </si>
  <si>
    <t>Kuljetuskerrat</t>
  </si>
  <si>
    <t>krt/vko</t>
  </si>
  <si>
    <t>krt/vko (Turku 2018)</t>
  </si>
  <si>
    <t>% (Turku 2018; linjasto- ja valmistushävikki + lautashävikki/Luken arvio 6 %)</t>
  </si>
  <si>
    <t>Liharuoan khk-päästöt</t>
  </si>
  <si>
    <t>Kasvisruoan khk-päästöt</t>
  </si>
  <si>
    <t>kgCO2e/ateria</t>
  </si>
  <si>
    <t>kgCO2e/ateria (Turku 2018; viikon esimerkkiruokalistan liha- ja kala-ateriat keskimäärin)</t>
  </si>
  <si>
    <t>kgCO2e/ateria (Turku 2018; viikon esimerkkiruokalistan kasvisateriat (ei maitotuotteita) keskimäärin)</t>
  </si>
  <si>
    <t>kg/ateria</t>
  </si>
  <si>
    <t>ruoka</t>
  </si>
  <si>
    <t>hävikki</t>
  </si>
  <si>
    <t>Lähtöoletukset</t>
  </si>
  <si>
    <t>Syötä vaaleansinisiin soluihin halutut arvot.</t>
  </si>
  <si>
    <t>Käytä vaaleanvihreissä soluissa esitettyjä lukuja, mikäli parempia arviota ei ole saatavilla.</t>
  </si>
  <si>
    <t>lukukaudessa</t>
  </si>
  <si>
    <t>per ateria</t>
  </si>
  <si>
    <t>Päästövähennystavoite</t>
  </si>
  <si>
    <t>Tavoitteen aikajänne</t>
  </si>
  <si>
    <t>vuotta</t>
  </si>
  <si>
    <t>% (Hiilineutraali Turku 2029)</t>
  </si>
  <si>
    <t>Päästöjen</t>
  </si>
  <si>
    <t>vähennys-</t>
  </si>
  <si>
    <t>Lämmön päästökerroin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</si>
</sst>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
    <numFmt numFmtId="166" formatCode="0.000"/>
    <numFmt numFmtId="167" formatCode="#,##0.000"/>
    <numFmt numFmtId="168" formatCode="0.0000"/>
    <numFmt numFmtId="169" formatCode="#,##0.0"/>
  </numFmts>
  <fonts count="20" x14ac:knownFonts="1">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15"/>
      <color theme="1"/>
      <name val="Calibri"/>
      <family val="2"/>
      <scheme val="minor"/>
    </font>
    <font>
      <sz val="11"/>
      <name val="Arial"/>
      <family val="2"/>
    </font>
    <font>
      <sz val="10"/>
      <color rgb="FF3E4044"/>
      <name val="Arial"/>
      <family val="2"/>
    </font>
    <font>
      <sz val="11"/>
      <color indexed="81"/>
      <name val="Tahoma"/>
      <family val="2"/>
    </font>
    <font>
      <sz val="8"/>
      <name val="Arial"/>
      <family val="2"/>
    </font>
    <font>
      <b/>
      <sz val="9"/>
      <name val="Arial"/>
      <family val="2"/>
    </font>
    <font>
      <b/>
      <sz val="9"/>
      <color rgb="FF000000"/>
      <name val="Arial"/>
      <family val="2"/>
    </font>
    <font>
      <b/>
      <vertAlign val="subscript"/>
      <sz val="9"/>
      <color rgb="FF000000"/>
      <name val="Arial"/>
      <family val="2"/>
    </font>
    <font>
      <sz val="9"/>
      <color rgb="FF000000"/>
      <name val="Arial"/>
      <family val="2"/>
    </font>
    <font>
      <sz val="9"/>
      <name val="Arial"/>
      <family val="2"/>
    </font>
    <font>
      <sz val="11"/>
      <name val="Calibri"/>
      <family val="2"/>
      <scheme val="minor"/>
    </font>
    <font>
      <b/>
      <sz val="11"/>
      <name val="Calibri"/>
      <family val="2"/>
      <scheme val="minor"/>
    </font>
    <font>
      <sz val="9"/>
      <color indexed="81"/>
      <name val="Tahoma"/>
      <family val="2"/>
    </font>
    <font>
      <sz val="12"/>
      <color indexed="81"/>
      <name val="Tahoma"/>
      <family val="2"/>
    </font>
    <font>
      <sz val="8"/>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DAEAFB"/>
        <bgColor indexed="64"/>
      </patternFill>
    </fill>
    <fill>
      <patternFill patternType="solid">
        <fgColor theme="5" tint="0.79998168889431442"/>
        <bgColor indexed="64"/>
      </patternFill>
    </fill>
    <fill>
      <patternFill patternType="solid">
        <fgColor rgb="FFEAEAEA"/>
        <bgColor indexed="64"/>
      </patternFill>
    </fill>
    <fill>
      <patternFill patternType="solid">
        <fgColor theme="6" tint="0.79998168889431442"/>
        <bgColor indexed="64"/>
      </patternFill>
    </fill>
    <fill>
      <patternFill patternType="solid">
        <fgColor theme="6" tint="0.59999389629810485"/>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double">
        <color theme="0" tint="-4.9989318521683403E-2"/>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3">
    <xf numFmtId="0" fontId="0" fillId="0" borderId="0"/>
    <xf numFmtId="9" fontId="3" fillId="0" borderId="0" applyFont="0" applyFill="0" applyBorder="0" applyAlignment="0" applyProtection="0"/>
    <xf numFmtId="0" fontId="4" fillId="0" borderId="0" applyNumberFormat="0" applyFill="0" applyBorder="0" applyAlignment="0" applyProtection="0"/>
  </cellStyleXfs>
  <cellXfs count="177">
    <xf numFmtId="0" fontId="0" fillId="0" borderId="0" xfId="0"/>
    <xf numFmtId="0" fontId="1" fillId="0" borderId="0" xfId="0" applyFont="1"/>
    <xf numFmtId="0" fontId="0" fillId="2" borderId="0" xfId="0" applyFill="1"/>
    <xf numFmtId="0" fontId="0" fillId="3" borderId="0" xfId="0" applyFill="1"/>
    <xf numFmtId="0" fontId="1" fillId="3" borderId="0" xfId="0" applyFont="1" applyFill="1"/>
    <xf numFmtId="3" fontId="0" fillId="2" borderId="0" xfId="0" applyNumberFormat="1" applyFill="1"/>
    <xf numFmtId="0" fontId="2" fillId="0" borderId="0" xfId="0" applyFont="1"/>
    <xf numFmtId="0" fontId="4" fillId="0" borderId="0" xfId="2"/>
    <xf numFmtId="2" fontId="0" fillId="2" borderId="0" xfId="0" applyNumberFormat="1" applyFill="1"/>
    <xf numFmtId="0" fontId="5" fillId="0" borderId="0" xfId="0" applyFont="1"/>
    <xf numFmtId="0" fontId="6" fillId="3" borderId="0" xfId="0" applyFont="1" applyFill="1" applyAlignment="1">
      <alignment horizontal="left" vertical="center"/>
    </xf>
    <xf numFmtId="0" fontId="6" fillId="3" borderId="0" xfId="0" applyFont="1" applyFill="1"/>
    <xf numFmtId="0" fontId="0" fillId="3" borderId="0" xfId="0" applyFill="1" applyBorder="1"/>
    <xf numFmtId="0" fontId="0" fillId="0" borderId="0" xfId="0" applyBorder="1"/>
    <xf numFmtId="0" fontId="1" fillId="3" borderId="0" xfId="0" applyFont="1" applyFill="1" applyBorder="1"/>
    <xf numFmtId="0" fontId="0" fillId="2" borderId="0" xfId="0" applyFill="1" applyBorder="1"/>
    <xf numFmtId="0" fontId="0" fillId="2" borderId="0" xfId="0" applyFill="1" applyBorder="1" applyAlignment="1">
      <alignment horizontal="right"/>
    </xf>
    <xf numFmtId="0" fontId="7" fillId="0" borderId="0" xfId="0" applyFont="1" applyAlignment="1">
      <alignment horizontal="left" wrapText="1"/>
    </xf>
    <xf numFmtId="164" fontId="0" fillId="0" borderId="0" xfId="0" applyNumberFormat="1"/>
    <xf numFmtId="1" fontId="0" fillId="0" borderId="0" xfId="0" applyNumberFormat="1"/>
    <xf numFmtId="0" fontId="0" fillId="0" borderId="2" xfId="0" applyBorder="1"/>
    <xf numFmtId="0" fontId="0" fillId="0" borderId="0" xfId="0" applyFill="1" applyBorder="1"/>
    <xf numFmtId="1" fontId="0" fillId="0" borderId="0" xfId="0" applyNumberFormat="1" applyBorder="1"/>
    <xf numFmtId="1" fontId="0" fillId="0" borderId="2" xfId="0" applyNumberFormat="1" applyBorder="1"/>
    <xf numFmtId="1" fontId="0" fillId="2" borderId="0" xfId="0" applyNumberFormat="1" applyFill="1"/>
    <xf numFmtId="0" fontId="1" fillId="2" borderId="0" xfId="0" applyFont="1" applyFill="1"/>
    <xf numFmtId="0" fontId="0" fillId="2" borderId="2" xfId="0" applyFill="1" applyBorder="1"/>
    <xf numFmtId="0" fontId="0" fillId="2" borderId="2" xfId="0" applyFill="1" applyBorder="1" applyAlignment="1">
      <alignment horizontal="right"/>
    </xf>
    <xf numFmtId="0" fontId="0" fillId="4" borderId="0" xfId="0" applyFill="1" applyBorder="1" applyAlignment="1">
      <alignment horizontal="right"/>
    </xf>
    <xf numFmtId="1" fontId="0" fillId="4" borderId="0" xfId="0" applyNumberFormat="1" applyFill="1" applyBorder="1"/>
    <xf numFmtId="0" fontId="0" fillId="4" borderId="0" xfId="0" applyFill="1" applyBorder="1"/>
    <xf numFmtId="0" fontId="0" fillId="2" borderId="0" xfId="0" applyFont="1" applyFill="1"/>
    <xf numFmtId="0" fontId="0" fillId="2" borderId="2" xfId="0" applyFont="1" applyFill="1" applyBorder="1"/>
    <xf numFmtId="3" fontId="0" fillId="2" borderId="0" xfId="1" applyNumberFormat="1" applyFont="1" applyFill="1"/>
    <xf numFmtId="49" fontId="0" fillId="3" borderId="0" xfId="0" applyNumberFormat="1" applyFill="1" applyBorder="1"/>
    <xf numFmtId="0" fontId="0" fillId="3" borderId="0" xfId="0" applyFont="1" applyFill="1" applyBorder="1"/>
    <xf numFmtId="49" fontId="1" fillId="3" borderId="0" xfId="0" applyNumberFormat="1" applyFont="1" applyFill="1" applyAlignment="1">
      <alignment horizontal="right"/>
    </xf>
    <xf numFmtId="0" fontId="0" fillId="3" borderId="0" xfId="0" applyFill="1" applyBorder="1" applyAlignment="1">
      <alignment horizontal="right"/>
    </xf>
    <xf numFmtId="49" fontId="0" fillId="3" borderId="0" xfId="0" applyNumberFormat="1" applyFill="1" applyBorder="1" applyAlignment="1">
      <alignment horizontal="right"/>
    </xf>
    <xf numFmtId="0" fontId="0" fillId="2" borderId="0" xfId="0" applyNumberFormat="1" applyFill="1" applyBorder="1" applyAlignment="1">
      <alignment horizontal="right"/>
    </xf>
    <xf numFmtId="0" fontId="0" fillId="3" borderId="0" xfId="0" applyNumberFormat="1" applyFill="1" applyBorder="1" applyAlignment="1">
      <alignment horizontal="right"/>
    </xf>
    <xf numFmtId="49" fontId="1" fillId="3" borderId="0" xfId="0" applyNumberFormat="1" applyFont="1" applyFill="1" applyBorder="1"/>
    <xf numFmtId="0" fontId="0" fillId="3" borderId="0" xfId="0" applyFill="1" applyBorder="1" applyAlignment="1">
      <alignment horizontal="left"/>
    </xf>
    <xf numFmtId="49" fontId="0" fillId="3" borderId="0" xfId="0" applyNumberFormat="1" applyFont="1" applyFill="1" applyBorder="1"/>
    <xf numFmtId="0" fontId="9" fillId="0" borderId="0" xfId="0" applyFont="1"/>
    <xf numFmtId="9" fontId="0" fillId="3" borderId="0" xfId="0" applyNumberFormat="1" applyFill="1"/>
    <xf numFmtId="0" fontId="4" fillId="3" borderId="0" xfId="2" applyFill="1"/>
    <xf numFmtId="0" fontId="11" fillId="0" borderId="0" xfId="0" applyFont="1"/>
    <xf numFmtId="0" fontId="11" fillId="0" borderId="0" xfId="0" applyFont="1" applyAlignment="1">
      <alignment horizontal="right"/>
    </xf>
    <xf numFmtId="0" fontId="13" fillId="0" borderId="0" xfId="0" applyFont="1"/>
    <xf numFmtId="0" fontId="14" fillId="0" borderId="0" xfId="0" applyFont="1"/>
    <xf numFmtId="0" fontId="14" fillId="0" borderId="0" xfId="0" applyFont="1" applyAlignment="1">
      <alignment horizontal="center" wrapText="1"/>
    </xf>
    <xf numFmtId="0" fontId="14" fillId="5" borderId="0" xfId="0" applyFont="1" applyFill="1"/>
    <xf numFmtId="0" fontId="14" fillId="5" borderId="0" xfId="0" applyFont="1" applyFill="1" applyAlignment="1">
      <alignment horizontal="center"/>
    </xf>
    <xf numFmtId="0" fontId="14" fillId="0" borderId="0" xfId="0" applyFont="1" applyAlignment="1">
      <alignment horizontal="center"/>
    </xf>
    <xf numFmtId="0" fontId="10" fillId="0" borderId="0" xfId="0" applyFont="1"/>
    <xf numFmtId="0" fontId="10" fillId="0" borderId="0" xfId="0" applyFont="1" applyAlignment="1">
      <alignment horizontal="center"/>
    </xf>
    <xf numFmtId="164" fontId="0" fillId="3" borderId="0" xfId="0" applyNumberFormat="1" applyFill="1"/>
    <xf numFmtId="49" fontId="0" fillId="3" borderId="0" xfId="0" applyNumberFormat="1" applyFont="1" applyFill="1" applyAlignment="1">
      <alignment horizontal="right"/>
    </xf>
    <xf numFmtId="0" fontId="0" fillId="3" borderId="0" xfId="0" applyFont="1" applyFill="1"/>
    <xf numFmtId="164" fontId="0" fillId="3" borderId="0" xfId="0" applyNumberFormat="1" applyFont="1" applyFill="1" applyAlignment="1">
      <alignment horizontal="right"/>
    </xf>
    <xf numFmtId="0" fontId="1" fillId="3" borderId="0" xfId="0" applyFont="1" applyFill="1" applyAlignment="1">
      <alignment horizontal="right"/>
    </xf>
    <xf numFmtId="0" fontId="0" fillId="3" borderId="0" xfId="0" applyFont="1" applyFill="1" applyAlignment="1">
      <alignment horizontal="right"/>
    </xf>
    <xf numFmtId="3" fontId="0" fillId="3" borderId="0" xfId="0" applyNumberFormat="1" applyFill="1" applyBorder="1"/>
    <xf numFmtId="164" fontId="1" fillId="3" borderId="0" xfId="0" applyNumberFormat="1" applyFont="1" applyFill="1"/>
    <xf numFmtId="1" fontId="1" fillId="3" borderId="0" xfId="0" applyNumberFormat="1" applyFont="1" applyFill="1"/>
    <xf numFmtId="49" fontId="0" fillId="4" borderId="0" xfId="0" applyNumberFormat="1" applyFont="1" applyFill="1" applyAlignment="1">
      <alignment horizontal="right"/>
    </xf>
    <xf numFmtId="0" fontId="0" fillId="4" borderId="0" xfId="0" applyFont="1" applyFill="1"/>
    <xf numFmtId="0" fontId="0" fillId="4" borderId="0" xfId="0" applyFill="1"/>
    <xf numFmtId="164" fontId="0" fillId="4" borderId="0" xfId="0" applyNumberFormat="1" applyFont="1" applyFill="1" applyAlignment="1">
      <alignment horizontal="right"/>
    </xf>
    <xf numFmtId="164" fontId="0" fillId="4" borderId="0" xfId="0" applyNumberFormat="1" applyFill="1"/>
    <xf numFmtId="164" fontId="0" fillId="2" borderId="0" xfId="0" applyNumberFormat="1" applyFill="1"/>
    <xf numFmtId="164" fontId="1" fillId="2" borderId="0" xfId="0" applyNumberFormat="1" applyFont="1" applyFill="1"/>
    <xf numFmtId="2" fontId="0" fillId="0" borderId="0" xfId="0" applyNumberFormat="1"/>
    <xf numFmtId="0" fontId="0" fillId="2" borderId="0" xfId="0" applyFont="1" applyFill="1" applyBorder="1"/>
    <xf numFmtId="0" fontId="0" fillId="2" borderId="0" xfId="0" applyFont="1" applyFill="1" applyBorder="1" applyAlignment="1">
      <alignment horizontal="right"/>
    </xf>
    <xf numFmtId="2" fontId="0" fillId="6" borderId="0" xfId="0" applyNumberFormat="1" applyFill="1"/>
    <xf numFmtId="1" fontId="0" fillId="2" borderId="0" xfId="0" applyNumberFormat="1" applyFont="1" applyFill="1" applyBorder="1"/>
    <xf numFmtId="164" fontId="0" fillId="2" borderId="0" xfId="0" applyNumberFormat="1" applyFill="1" applyBorder="1"/>
    <xf numFmtId="1" fontId="0" fillId="2" borderId="0" xfId="0" applyNumberFormat="1" applyFill="1" applyBorder="1"/>
    <xf numFmtId="3" fontId="0" fillId="2" borderId="0" xfId="0" applyNumberFormat="1" applyFill="1" applyBorder="1"/>
    <xf numFmtId="1" fontId="0" fillId="4" borderId="0" xfId="0" applyNumberFormat="1" applyFont="1" applyFill="1" applyAlignment="1">
      <alignment horizontal="right"/>
    </xf>
    <xf numFmtId="0" fontId="0" fillId="4" borderId="0" xfId="0" applyFont="1" applyFill="1" applyAlignment="1">
      <alignment horizontal="right"/>
    </xf>
    <xf numFmtId="0" fontId="0" fillId="0" borderId="0" xfId="0" applyFill="1"/>
    <xf numFmtId="1" fontId="0" fillId="0" borderId="0" xfId="0" applyNumberFormat="1" applyFill="1"/>
    <xf numFmtId="3" fontId="1" fillId="0" borderId="0" xfId="0" applyNumberFormat="1" applyFont="1" applyFill="1"/>
    <xf numFmtId="0" fontId="0" fillId="0" borderId="0" xfId="0" applyFill="1" applyAlignment="1"/>
    <xf numFmtId="9" fontId="0" fillId="2" borderId="0" xfId="0" applyNumberFormat="1" applyFill="1"/>
    <xf numFmtId="165" fontId="15" fillId="2" borderId="0" xfId="1" applyNumberFormat="1" applyFont="1" applyFill="1"/>
    <xf numFmtId="0" fontId="1" fillId="2" borderId="0" xfId="0" quotePrefix="1" applyFont="1" applyFill="1"/>
    <xf numFmtId="9" fontId="15" fillId="2" borderId="0" xfId="1" applyFont="1" applyFill="1"/>
    <xf numFmtId="0" fontId="0" fillId="2" borderId="0" xfId="0" applyFill="1" applyAlignment="1">
      <alignment horizontal="left"/>
    </xf>
    <xf numFmtId="9" fontId="16" fillId="2" borderId="0" xfId="0" applyNumberFormat="1" applyFont="1" applyFill="1"/>
    <xf numFmtId="0" fontId="0" fillId="2" borderId="0" xfId="0" quotePrefix="1" applyFill="1" applyAlignment="1">
      <alignment horizontal="center"/>
    </xf>
    <xf numFmtId="1" fontId="0" fillId="4" borderId="0" xfId="0" applyNumberFormat="1" applyFont="1" applyFill="1"/>
    <xf numFmtId="9" fontId="0" fillId="2" borderId="0" xfId="1" applyFont="1" applyFill="1"/>
    <xf numFmtId="3" fontId="0" fillId="3" borderId="0" xfId="0" applyNumberFormat="1" applyFont="1" applyFill="1" applyAlignment="1">
      <alignment horizontal="right"/>
    </xf>
    <xf numFmtId="0" fontId="0" fillId="3" borderId="0" xfId="0" applyFill="1" applyProtection="1">
      <protection hidden="1"/>
    </xf>
    <xf numFmtId="0" fontId="0" fillId="3" borderId="0" xfId="0" applyFill="1" applyBorder="1" applyProtection="1">
      <protection hidden="1"/>
    </xf>
    <xf numFmtId="0" fontId="2" fillId="3" borderId="0" xfId="0" applyFont="1" applyFill="1" applyProtection="1">
      <protection hidden="1"/>
    </xf>
    <xf numFmtId="0" fontId="1" fillId="3" borderId="0" xfId="0" applyFont="1" applyFill="1" applyProtection="1">
      <protection hidden="1"/>
    </xf>
    <xf numFmtId="0" fontId="0" fillId="3" borderId="0" xfId="0" applyFill="1" applyAlignment="1" applyProtection="1">
      <alignment horizontal="left" indent="1"/>
      <protection hidden="1"/>
    </xf>
    <xf numFmtId="0" fontId="1" fillId="3" borderId="0" xfId="0" applyFont="1" applyFill="1" applyBorder="1" applyProtection="1">
      <protection hidden="1"/>
    </xf>
    <xf numFmtId="0" fontId="0" fillId="3" borderId="0" xfId="0" applyFill="1" applyAlignment="1" applyProtection="1">
      <alignment horizontal="center"/>
      <protection hidden="1"/>
    </xf>
    <xf numFmtId="0" fontId="0" fillId="3" borderId="0" xfId="0" applyFill="1" applyAlignment="1" applyProtection="1">
      <alignment horizontal="right"/>
      <protection hidden="1"/>
    </xf>
    <xf numFmtId="0" fontId="0" fillId="3" borderId="0" xfId="0" applyFill="1" applyBorder="1" applyAlignment="1" applyProtection="1">
      <alignment horizontal="center"/>
      <protection hidden="1"/>
    </xf>
    <xf numFmtId="0" fontId="0" fillId="3" borderId="0" xfId="0" applyFill="1" applyAlignment="1" applyProtection="1">
      <alignment horizontal="left"/>
      <protection hidden="1"/>
    </xf>
    <xf numFmtId="0" fontId="1" fillId="2" borderId="0" xfId="0" applyFont="1" applyFill="1" applyBorder="1" applyProtection="1">
      <protection hidden="1"/>
    </xf>
    <xf numFmtId="0" fontId="0" fillId="2" borderId="0" xfId="0" applyFill="1" applyBorder="1" applyProtection="1">
      <protection hidden="1"/>
    </xf>
    <xf numFmtId="0" fontId="0" fillId="2" borderId="0" xfId="0" applyFill="1" applyBorder="1" applyAlignment="1" applyProtection="1">
      <alignment horizontal="right"/>
      <protection hidden="1"/>
    </xf>
    <xf numFmtId="3" fontId="0" fillId="4" borderId="0" xfId="0" applyNumberFormat="1" applyFill="1" applyBorder="1" applyAlignment="1" applyProtection="1">
      <alignment horizontal="center"/>
      <protection hidden="1"/>
    </xf>
    <xf numFmtId="3" fontId="0" fillId="2" borderId="0" xfId="0" applyNumberFormat="1" applyFill="1" applyBorder="1" applyAlignment="1" applyProtection="1">
      <alignment horizontal="center"/>
      <protection hidden="1"/>
    </xf>
    <xf numFmtId="9" fontId="0" fillId="3" borderId="0" xfId="1" applyFont="1" applyFill="1" applyBorder="1" applyAlignment="1" applyProtection="1">
      <alignment horizontal="center"/>
      <protection hidden="1"/>
    </xf>
    <xf numFmtId="9" fontId="0" fillId="2" borderId="0" xfId="0" applyNumberFormat="1" applyFill="1" applyBorder="1" applyAlignment="1" applyProtection="1">
      <alignment horizontal="right"/>
      <protection hidden="1"/>
    </xf>
    <xf numFmtId="0" fontId="0" fillId="3" borderId="0" xfId="0" applyFont="1" applyFill="1" applyBorder="1" applyProtection="1">
      <protection hidden="1"/>
    </xf>
    <xf numFmtId="3" fontId="0" fillId="3" borderId="0" xfId="0" applyNumberFormat="1" applyFill="1" applyBorder="1" applyAlignment="1" applyProtection="1">
      <alignment horizontal="center"/>
      <protection hidden="1"/>
    </xf>
    <xf numFmtId="1" fontId="0" fillId="3" borderId="0" xfId="0" applyNumberFormat="1" applyFill="1" applyBorder="1" applyAlignment="1" applyProtection="1">
      <alignment horizontal="center"/>
      <protection hidden="1"/>
    </xf>
    <xf numFmtId="1" fontId="0" fillId="3" borderId="0" xfId="0" applyNumberFormat="1" applyFill="1" applyBorder="1" applyProtection="1">
      <protection hidden="1"/>
    </xf>
    <xf numFmtId="164" fontId="0" fillId="3" borderId="0" xfId="0" applyNumberFormat="1" applyFill="1" applyBorder="1" applyProtection="1">
      <protection hidden="1"/>
    </xf>
    <xf numFmtId="3" fontId="0" fillId="3" borderId="0" xfId="0" applyNumberFormat="1" applyFill="1" applyBorder="1" applyProtection="1">
      <protection hidden="1"/>
    </xf>
    <xf numFmtId="3" fontId="1" fillId="3" borderId="0" xfId="0" applyNumberFormat="1" applyFont="1" applyFill="1" applyBorder="1" applyProtection="1">
      <protection hidden="1"/>
    </xf>
    <xf numFmtId="0" fontId="0" fillId="3" borderId="0" xfId="0" applyFont="1" applyFill="1" applyBorder="1" applyAlignment="1" applyProtection="1">
      <alignment horizontal="left" indent="1"/>
      <protection hidden="1"/>
    </xf>
    <xf numFmtId="0" fontId="0" fillId="3" borderId="0" xfId="0" applyFont="1" applyFill="1" applyAlignment="1" applyProtection="1">
      <alignment horizontal="left" indent="1"/>
      <protection hidden="1"/>
    </xf>
    <xf numFmtId="0" fontId="0" fillId="3" borderId="0" xfId="0" applyFont="1" applyFill="1" applyProtection="1">
      <protection hidden="1"/>
    </xf>
    <xf numFmtId="3" fontId="0" fillId="3" borderId="0" xfId="0" applyNumberFormat="1" applyFill="1" applyProtection="1">
      <protection hidden="1"/>
    </xf>
    <xf numFmtId="165" fontId="0" fillId="3" borderId="0" xfId="1" applyNumberFormat="1" applyFont="1" applyFill="1" applyProtection="1">
      <protection hidden="1"/>
    </xf>
    <xf numFmtId="0" fontId="0" fillId="2" borderId="0" xfId="0" applyFill="1" applyBorder="1" applyProtection="1">
      <protection locked="0" hidden="1"/>
    </xf>
    <xf numFmtId="49" fontId="0" fillId="3" borderId="0" xfId="0" applyNumberFormat="1" applyFill="1"/>
    <xf numFmtId="166" fontId="1" fillId="3" borderId="0" xfId="0" applyNumberFormat="1" applyFont="1" applyFill="1" applyAlignment="1">
      <alignment horizontal="right"/>
    </xf>
    <xf numFmtId="167" fontId="0" fillId="3" borderId="0" xfId="0" applyNumberFormat="1" applyFill="1" applyProtection="1">
      <protection hidden="1"/>
    </xf>
    <xf numFmtId="3" fontId="0" fillId="3" borderId="0" xfId="0" applyNumberFormat="1" applyFill="1"/>
    <xf numFmtId="1" fontId="0" fillId="3" borderId="0" xfId="0" applyNumberFormat="1" applyFill="1"/>
    <xf numFmtId="0" fontId="1" fillId="2" borderId="0" xfId="0" applyFont="1" applyFill="1" applyBorder="1" applyAlignment="1" applyProtection="1">
      <alignment horizontal="right"/>
      <protection hidden="1"/>
    </xf>
    <xf numFmtId="0" fontId="0" fillId="2" borderId="3" xfId="0" applyFill="1" applyBorder="1" applyProtection="1">
      <protection hidden="1"/>
    </xf>
    <xf numFmtId="0" fontId="1" fillId="2" borderId="4" xfId="0" applyFont="1" applyFill="1" applyBorder="1" applyProtection="1">
      <protection hidden="1"/>
    </xf>
    <xf numFmtId="0" fontId="0" fillId="2" borderId="4" xfId="0" applyFill="1" applyBorder="1" applyProtection="1">
      <protection hidden="1"/>
    </xf>
    <xf numFmtId="0" fontId="0" fillId="2" borderId="5" xfId="0" applyFill="1" applyBorder="1" applyProtection="1">
      <protection hidden="1"/>
    </xf>
    <xf numFmtId="0" fontId="0" fillId="2" borderId="6" xfId="0" applyFill="1" applyBorder="1" applyAlignment="1" applyProtection="1">
      <alignment horizontal="left" indent="1"/>
      <protection hidden="1"/>
    </xf>
    <xf numFmtId="0" fontId="0" fillId="2" borderId="7" xfId="0" applyFill="1" applyBorder="1" applyAlignment="1" applyProtection="1">
      <alignment horizontal="left"/>
      <protection hidden="1"/>
    </xf>
    <xf numFmtId="0" fontId="0" fillId="2" borderId="6" xfId="0" applyFill="1" applyBorder="1" applyProtection="1">
      <protection hidden="1"/>
    </xf>
    <xf numFmtId="9" fontId="0" fillId="2" borderId="7" xfId="0" applyNumberFormat="1" applyFill="1" applyBorder="1" applyAlignment="1" applyProtection="1">
      <alignment horizontal="left"/>
      <protection hidden="1"/>
    </xf>
    <xf numFmtId="0" fontId="0" fillId="2" borderId="7" xfId="0" applyFill="1" applyBorder="1" applyProtection="1">
      <protection hidden="1"/>
    </xf>
    <xf numFmtId="0" fontId="0" fillId="2" borderId="8" xfId="0" applyFill="1" applyBorder="1" applyProtection="1">
      <protection hidden="1"/>
    </xf>
    <xf numFmtId="0" fontId="1" fillId="2" borderId="9" xfId="0" applyFont="1" applyFill="1" applyBorder="1" applyProtection="1">
      <protection hidden="1"/>
    </xf>
    <xf numFmtId="0" fontId="0" fillId="2" borderId="9" xfId="0" applyFill="1" applyBorder="1" applyProtection="1">
      <protection hidden="1"/>
    </xf>
    <xf numFmtId="0" fontId="0" fillId="2" borderId="9" xfId="0" applyFill="1" applyBorder="1" applyAlignment="1" applyProtection="1">
      <alignment horizontal="right"/>
      <protection hidden="1"/>
    </xf>
    <xf numFmtId="0" fontId="0" fillId="2" borderId="10" xfId="0" applyFill="1" applyBorder="1" applyAlignment="1" applyProtection="1">
      <alignment horizontal="left"/>
      <protection hidden="1"/>
    </xf>
    <xf numFmtId="0" fontId="0" fillId="2" borderId="4" xfId="0" applyFill="1" applyBorder="1" applyAlignment="1" applyProtection="1">
      <alignment horizontal="right"/>
      <protection hidden="1"/>
    </xf>
    <xf numFmtId="0" fontId="0" fillId="2" borderId="5" xfId="0" applyFill="1" applyBorder="1" applyAlignment="1" applyProtection="1">
      <alignment horizontal="left"/>
      <protection hidden="1"/>
    </xf>
    <xf numFmtId="0" fontId="19" fillId="3" borderId="0" xfId="0" applyFont="1" applyFill="1" applyAlignment="1" applyProtection="1">
      <alignment horizontal="right"/>
      <protection hidden="1"/>
    </xf>
    <xf numFmtId="3" fontId="0" fillId="4" borderId="12" xfId="0" applyNumberFormat="1" applyFill="1" applyBorder="1" applyAlignment="1" applyProtection="1">
      <alignment horizontal="center"/>
      <protection hidden="1"/>
    </xf>
    <xf numFmtId="3" fontId="0" fillId="4" borderId="13" xfId="0" applyNumberFormat="1" applyFill="1" applyBorder="1" applyAlignment="1" applyProtection="1">
      <alignment horizontal="center"/>
      <protection hidden="1"/>
    </xf>
    <xf numFmtId="3" fontId="0" fillId="4" borderId="14" xfId="0" applyNumberFormat="1" applyFill="1" applyBorder="1" applyAlignment="1" applyProtection="1">
      <alignment horizontal="center"/>
      <protection hidden="1"/>
    </xf>
    <xf numFmtId="3" fontId="0" fillId="2" borderId="12" xfId="0" applyNumberFormat="1" applyFill="1" applyBorder="1" applyAlignment="1" applyProtection="1">
      <alignment horizontal="center"/>
      <protection hidden="1"/>
    </xf>
    <xf numFmtId="3" fontId="0" fillId="2" borderId="13" xfId="0" applyNumberFormat="1" applyFill="1" applyBorder="1" applyAlignment="1" applyProtection="1">
      <alignment horizontal="center"/>
      <protection hidden="1"/>
    </xf>
    <xf numFmtId="3" fontId="0" fillId="2" borderId="14" xfId="0" applyNumberFormat="1" applyFill="1" applyBorder="1" applyAlignment="1" applyProtection="1">
      <alignment horizontal="center"/>
      <protection hidden="1"/>
    </xf>
    <xf numFmtId="1" fontId="0" fillId="2" borderId="12" xfId="0" applyNumberFormat="1" applyFill="1" applyBorder="1" applyAlignment="1" applyProtection="1">
      <alignment horizontal="center"/>
      <protection hidden="1"/>
    </xf>
    <xf numFmtId="1" fontId="0" fillId="2" borderId="13" xfId="0" applyNumberFormat="1" applyFill="1" applyBorder="1" applyAlignment="1" applyProtection="1">
      <alignment horizontal="center"/>
      <protection hidden="1"/>
    </xf>
    <xf numFmtId="1" fontId="0" fillId="2" borderId="14" xfId="0" applyNumberFormat="1" applyFill="1" applyBorder="1" applyAlignment="1" applyProtection="1">
      <alignment horizontal="center"/>
      <protection hidden="1"/>
    </xf>
    <xf numFmtId="9" fontId="0" fillId="3" borderId="0" xfId="1" applyNumberFormat="1" applyFont="1" applyFill="1" applyBorder="1" applyAlignment="1" applyProtection="1">
      <alignment horizontal="center"/>
      <protection hidden="1"/>
    </xf>
    <xf numFmtId="3" fontId="0" fillId="3" borderId="1" xfId="0" applyNumberFormat="1" applyFill="1" applyBorder="1" applyProtection="1">
      <protection hidden="1"/>
    </xf>
    <xf numFmtId="0" fontId="0" fillId="3" borderId="0" xfId="0" quotePrefix="1" applyFill="1"/>
    <xf numFmtId="0" fontId="0" fillId="8" borderId="0" xfId="0" applyFill="1"/>
    <xf numFmtId="2" fontId="0" fillId="8" borderId="0" xfId="0" applyNumberFormat="1" applyFill="1"/>
    <xf numFmtId="168" fontId="0" fillId="3" borderId="0" xfId="0" applyNumberFormat="1" applyFont="1" applyFill="1" applyAlignment="1">
      <alignment horizontal="right"/>
    </xf>
    <xf numFmtId="2" fontId="0" fillId="9" borderId="0" xfId="0" applyNumberFormat="1" applyFill="1"/>
    <xf numFmtId="0" fontId="0" fillId="9" borderId="0" xfId="0" applyFill="1"/>
    <xf numFmtId="169" fontId="0" fillId="4" borderId="0" xfId="0" applyNumberFormat="1" applyFill="1" applyBorder="1" applyAlignment="1" applyProtection="1">
      <alignment horizontal="center"/>
      <protection hidden="1"/>
    </xf>
    <xf numFmtId="2" fontId="1" fillId="3" borderId="0" xfId="0" applyNumberFormat="1" applyFont="1" applyFill="1" applyAlignment="1">
      <alignment horizontal="right"/>
    </xf>
    <xf numFmtId="166" fontId="0" fillId="2" borderId="0" xfId="0" applyNumberFormat="1" applyFill="1"/>
    <xf numFmtId="166" fontId="0" fillId="8" borderId="0" xfId="0" applyNumberFormat="1" applyFill="1"/>
    <xf numFmtId="0" fontId="2" fillId="3" borderId="0" xfId="0" applyFont="1" applyFill="1"/>
    <xf numFmtId="0" fontId="19" fillId="3" borderId="0" xfId="0" applyFont="1" applyFill="1"/>
    <xf numFmtId="0" fontId="19" fillId="3" borderId="0" xfId="0" applyFont="1" applyFill="1" applyAlignment="1">
      <alignment horizontal="left"/>
    </xf>
    <xf numFmtId="0" fontId="0" fillId="0" borderId="0" xfId="0" applyAlignment="1">
      <alignment horizontal="center" vertical="center" wrapText="1"/>
    </xf>
    <xf numFmtId="0" fontId="0" fillId="7" borderId="0" xfId="0" applyFill="1" applyBorder="1" applyAlignment="1" applyProtection="1">
      <alignment horizontal="center"/>
      <protection hidden="1"/>
    </xf>
    <xf numFmtId="0" fontId="0" fillId="7" borderId="11" xfId="0" applyFill="1" applyBorder="1" applyAlignment="1" applyProtection="1">
      <alignment horizontal="center"/>
      <protection hidden="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EAEAEA"/>
      <color rgb="FFE0E0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US" sz="1400"/>
              <a:t>Päästöjen jakauma (oletus)</a:t>
            </a:r>
          </a:p>
        </c:rich>
      </c:tx>
      <c:overlay val="1"/>
    </c:title>
    <c:autoTitleDeleted val="0"/>
    <c:plotArea>
      <c:layout>
        <c:manualLayout>
          <c:layoutTarget val="inner"/>
          <c:xMode val="edge"/>
          <c:yMode val="edge"/>
          <c:x val="0.24999999999999997"/>
          <c:y val="0.20218034505507987"/>
          <c:w val="0.46111869866717542"/>
          <c:h val="0.6699703191012667"/>
        </c:manualLayout>
      </c:layout>
      <c:pieChart>
        <c:varyColors val="1"/>
        <c:ser>
          <c:idx val="0"/>
          <c:order val="0"/>
          <c:dLbls>
            <c:dLbl>
              <c:idx val="0"/>
              <c:layout>
                <c:manualLayout>
                  <c:x val="0.10573796484344032"/>
                  <c:y val="7.4124521179538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028-47DF-81CA-DA1F5257E363}"/>
                </c:ext>
              </c:extLst>
            </c:dLbl>
            <c:dLbl>
              <c:idx val="1"/>
              <c:layout>
                <c:manualLayout>
                  <c:x val="9.5553416430499957E-2"/>
                  <c:y val="0.1747125204322482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028-47DF-81CA-DA1F5257E363}"/>
                </c:ext>
              </c:extLst>
            </c:dLbl>
            <c:dLbl>
              <c:idx val="2"/>
              <c:layout>
                <c:manualLayout>
                  <c:x val="9.8340527367731065E-2"/>
                  <c:y val="0.2941400944038933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028-47DF-81CA-DA1F5257E363}"/>
                </c:ext>
              </c:extLst>
            </c:dLbl>
            <c:dLbl>
              <c:idx val="3"/>
              <c:layout>
                <c:manualLayout>
                  <c:x val="0.11277063860065452"/>
                  <c:y val="0.44260756457901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028-47DF-81CA-DA1F5257E363}"/>
                </c:ext>
              </c:extLst>
            </c:dLbl>
            <c:dLbl>
              <c:idx val="4"/>
              <c:layout>
                <c:manualLayout>
                  <c:x val="-6.8766246196464487E-2"/>
                  <c:y val="-2.8180699971016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028-47DF-81CA-DA1F5257E363}"/>
                </c:ext>
              </c:extLst>
            </c:dLbl>
            <c:dLbl>
              <c:idx val="5"/>
              <c:layout>
                <c:manualLayout>
                  <c:x val="0.1370848659731089"/>
                  <c:y val="7.388853485738045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028-47DF-81CA-DA1F5257E363}"/>
                </c:ext>
              </c:extLst>
            </c:dLbl>
            <c:spPr>
              <a:noFill/>
              <a:ln>
                <a:noFill/>
              </a:ln>
              <a:effectLst/>
            </c:spPr>
            <c:txPr>
              <a:bodyPr/>
              <a:lstStyle/>
              <a:p>
                <a:pPr>
                  <a:defRPr sz="1400"/>
                </a:pPr>
                <a:endParaRPr lang="fi-FI"/>
              </a:p>
            </c:txPr>
            <c:showLegendKey val="0"/>
            <c:showVal val="0"/>
            <c:showCatName val="1"/>
            <c:showSerName val="0"/>
            <c:showPercent val="1"/>
            <c:showBubbleSize val="0"/>
            <c:showLeaderLines val="1"/>
            <c:extLst>
              <c:ext xmlns:c15="http://schemas.microsoft.com/office/drawing/2012/chart" uri="{CE6537A1-D6FC-4f65-9D91-7224C49458BB}"/>
            </c:extLst>
          </c:dLbls>
          <c:cat>
            <c:strRef>
              <c:f>Laskuri!$N$10:$N$15</c:f>
              <c:strCache>
                <c:ptCount val="6"/>
                <c:pt idx="0">
                  <c:v>Sähkönkulutus</c:v>
                </c:pt>
                <c:pt idx="1">
                  <c:v>Cook &amp; chill</c:v>
                </c:pt>
                <c:pt idx="2">
                  <c:v>Lämmönkulutus</c:v>
                </c:pt>
                <c:pt idx="3">
                  <c:v>Jakelu</c:v>
                </c:pt>
                <c:pt idx="4">
                  <c:v>Ruoka</c:v>
                </c:pt>
                <c:pt idx="5">
                  <c:v>Ruokahävikki</c:v>
                </c:pt>
              </c:strCache>
            </c:strRef>
          </c:cat>
          <c:val>
            <c:numRef>
              <c:f>Laskuri!$Z$10:$Z$15</c:f>
              <c:numCache>
                <c:formatCode>#,##0</c:formatCode>
                <c:ptCount val="6"/>
                <c:pt idx="0">
                  <c:v>33.347553026696055</c:v>
                </c:pt>
                <c:pt idx="1">
                  <c:v>0</c:v>
                </c:pt>
                <c:pt idx="2">
                  <c:v>52.370489005236394</c:v>
                </c:pt>
                <c:pt idx="3" formatCode="#\ ##0.0">
                  <c:v>5.6783999999999999</c:v>
                </c:pt>
                <c:pt idx="4">
                  <c:v>1190</c:v>
                </c:pt>
                <c:pt idx="5">
                  <c:v>142.79999999999998</c:v>
                </c:pt>
              </c:numCache>
            </c:numRef>
          </c:val>
          <c:extLst>
            <c:ext xmlns:c16="http://schemas.microsoft.com/office/drawing/2014/chart" uri="{C3380CC4-5D6E-409C-BE32-E72D297353CC}">
              <c16:uniqueId val="{00000006-8028-47DF-81CA-DA1F5257E363}"/>
            </c:ext>
          </c:extLst>
        </c:ser>
        <c:dLbls>
          <c:showLegendKey val="0"/>
          <c:showVal val="1"/>
          <c:showCatName val="0"/>
          <c:showSerName val="0"/>
          <c:showPercent val="0"/>
          <c:showBubbleSize val="0"/>
          <c:showLeaderLines val="1"/>
        </c:dLbls>
        <c:firstSliceAng val="37"/>
      </c:pieChart>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400"/>
            </a:pPr>
            <a:r>
              <a:rPr lang="en-US" sz="1400"/>
              <a:t>Päästöjen jakauma</a:t>
            </a:r>
          </a:p>
        </c:rich>
      </c:tx>
      <c:overlay val="1"/>
    </c:title>
    <c:autoTitleDeleted val="0"/>
    <c:plotArea>
      <c:layout>
        <c:manualLayout>
          <c:layoutTarget val="inner"/>
          <c:xMode val="edge"/>
          <c:yMode val="edge"/>
          <c:x val="0.24999999999999997"/>
          <c:y val="0.20218034505507987"/>
          <c:w val="0.46111869866717542"/>
          <c:h val="0.6699703191012667"/>
        </c:manualLayout>
      </c:layout>
      <c:pieChart>
        <c:varyColors val="1"/>
        <c:ser>
          <c:idx val="0"/>
          <c:order val="0"/>
          <c:dLbls>
            <c:dLbl>
              <c:idx val="0"/>
              <c:layout>
                <c:manualLayout>
                  <c:x val="0.10573796484344032"/>
                  <c:y val="7.4124521179538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650A-433D-BE9C-775E765077F7}"/>
                </c:ext>
              </c:extLst>
            </c:dLbl>
            <c:dLbl>
              <c:idx val="1"/>
              <c:layout>
                <c:manualLayout>
                  <c:x val="9.5553416430499957E-2"/>
                  <c:y val="0.1747125204322482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50A-433D-BE9C-775E765077F7}"/>
                </c:ext>
              </c:extLst>
            </c:dLbl>
            <c:dLbl>
              <c:idx val="2"/>
              <c:layout>
                <c:manualLayout>
                  <c:x val="9.8340527367731065E-2"/>
                  <c:y val="0.2941400944038933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50A-433D-BE9C-775E765077F7}"/>
                </c:ext>
              </c:extLst>
            </c:dLbl>
            <c:dLbl>
              <c:idx val="3"/>
              <c:layout>
                <c:manualLayout>
                  <c:x val="0.14118746362431092"/>
                  <c:y val="0.442607564579014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50A-433D-BE9C-775E765077F7}"/>
                </c:ext>
              </c:extLst>
            </c:dLbl>
            <c:dLbl>
              <c:idx val="4"/>
              <c:layout>
                <c:manualLayout>
                  <c:x val="-6.8766246196464487E-2"/>
                  <c:y val="-2.8180699971016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50A-433D-BE9C-775E765077F7}"/>
                </c:ext>
              </c:extLst>
            </c:dLbl>
            <c:dLbl>
              <c:idx val="5"/>
              <c:layout>
                <c:manualLayout>
                  <c:x val="0.1370848659731089"/>
                  <c:y val="7.388853485738045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50A-433D-BE9C-775E765077F7}"/>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Laskuri!$N$10:$N$15</c:f>
              <c:strCache>
                <c:ptCount val="6"/>
                <c:pt idx="0">
                  <c:v>Sähkönkulutus</c:v>
                </c:pt>
                <c:pt idx="1">
                  <c:v>Cook &amp; chill</c:v>
                </c:pt>
                <c:pt idx="2">
                  <c:v>Lämmönkulutus</c:v>
                </c:pt>
                <c:pt idx="3">
                  <c:v>Jakelu</c:v>
                </c:pt>
                <c:pt idx="4">
                  <c:v>Ruoka</c:v>
                </c:pt>
                <c:pt idx="5">
                  <c:v>Ruokahävikki</c:v>
                </c:pt>
              </c:strCache>
            </c:strRef>
          </c:cat>
          <c:val>
            <c:numRef>
              <c:f>Laskuri!$X$10:$X$15</c:f>
              <c:numCache>
                <c:formatCode>#,##0</c:formatCode>
                <c:ptCount val="6"/>
                <c:pt idx="0">
                  <c:v>33.347553026696055</c:v>
                </c:pt>
                <c:pt idx="1">
                  <c:v>0</c:v>
                </c:pt>
                <c:pt idx="2">
                  <c:v>52.370489005236394</c:v>
                </c:pt>
                <c:pt idx="3">
                  <c:v>5.6783999999999999</c:v>
                </c:pt>
                <c:pt idx="4">
                  <c:v>1190</c:v>
                </c:pt>
                <c:pt idx="5">
                  <c:v>142.80000000000001</c:v>
                </c:pt>
              </c:numCache>
            </c:numRef>
          </c:val>
          <c:extLst>
            <c:ext xmlns:c16="http://schemas.microsoft.com/office/drawing/2014/chart" uri="{C3380CC4-5D6E-409C-BE32-E72D297353CC}">
              <c16:uniqueId val="{00000006-650A-433D-BE9C-775E765077F7}"/>
            </c:ext>
          </c:extLst>
        </c:ser>
        <c:dLbls>
          <c:showLegendKey val="0"/>
          <c:showVal val="1"/>
          <c:showCatName val="0"/>
          <c:showSerName val="0"/>
          <c:showPercent val="0"/>
          <c:showBubbleSize val="0"/>
          <c:showLeaderLines val="1"/>
        </c:dLbls>
        <c:firstSliceAng val="37"/>
      </c:pieChart>
    </c:plotArea>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400"/>
            </a:pPr>
            <a:r>
              <a:rPr lang="en-US" sz="1400"/>
              <a:t>Päästöjen jakauma (keittiöt ja jakelu)</a:t>
            </a:r>
          </a:p>
        </c:rich>
      </c:tx>
      <c:overlay val="1"/>
    </c:title>
    <c:autoTitleDeleted val="0"/>
    <c:plotArea>
      <c:layout>
        <c:manualLayout>
          <c:layoutTarget val="inner"/>
          <c:xMode val="edge"/>
          <c:yMode val="edge"/>
          <c:x val="0.24999999999999997"/>
          <c:y val="0.20218034505507987"/>
          <c:w val="0.46111869866717542"/>
          <c:h val="0.6699703191012667"/>
        </c:manualLayout>
      </c:layout>
      <c:pieChart>
        <c:varyColors val="1"/>
        <c:ser>
          <c:idx val="0"/>
          <c:order val="0"/>
          <c:dLbls>
            <c:dLbl>
              <c:idx val="0"/>
              <c:layout>
                <c:manualLayout>
                  <c:x val="0.10573796484344032"/>
                  <c:y val="7.4124521179538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A12C-4E1B-972B-B766EDA1F42F}"/>
                </c:ext>
              </c:extLst>
            </c:dLbl>
            <c:dLbl>
              <c:idx val="1"/>
              <c:layout>
                <c:manualLayout>
                  <c:x val="0.14645098039215693"/>
                  <c:y val="-5.24571759259258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12C-4E1B-972B-B766EDA1F42F}"/>
                </c:ext>
              </c:extLst>
            </c:dLbl>
            <c:dLbl>
              <c:idx val="2"/>
              <c:layout>
                <c:manualLayout>
                  <c:x val="6.4866013071895427E-3"/>
                  <c:y val="-0.2434465277777778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A12C-4E1B-972B-B766EDA1F42F}"/>
                </c:ext>
              </c:extLst>
            </c:dLbl>
            <c:dLbl>
              <c:idx val="3"/>
              <c:layout>
                <c:manualLayout>
                  <c:x val="0.1800687649571355"/>
                  <c:y val="0.1958286139970792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12C-4E1B-972B-B766EDA1F42F}"/>
                </c:ext>
              </c:extLst>
            </c:dLbl>
            <c:dLbl>
              <c:idx val="4"/>
              <c:layout>
                <c:manualLayout>
                  <c:x val="-6.8766246196464487E-2"/>
                  <c:y val="-2.8180699971016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A12C-4E1B-972B-B766EDA1F42F}"/>
                </c:ext>
              </c:extLst>
            </c:dLbl>
            <c:dLbl>
              <c:idx val="5"/>
              <c:layout>
                <c:manualLayout>
                  <c:x val="0.1370848659731089"/>
                  <c:y val="7.388853485738045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12C-4E1B-972B-B766EDA1F42F}"/>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Laskuri!$N$10:$N$13</c:f>
              <c:strCache>
                <c:ptCount val="4"/>
                <c:pt idx="0">
                  <c:v>Sähkönkulutus</c:v>
                </c:pt>
                <c:pt idx="1">
                  <c:v>Cook &amp; chill</c:v>
                </c:pt>
                <c:pt idx="2">
                  <c:v>Lämmönkulutus</c:v>
                </c:pt>
                <c:pt idx="3">
                  <c:v>Jakelu</c:v>
                </c:pt>
              </c:strCache>
            </c:strRef>
          </c:cat>
          <c:val>
            <c:numRef>
              <c:f>Laskuri!$X$10:$X$13</c:f>
              <c:numCache>
                <c:formatCode>#,##0</c:formatCode>
                <c:ptCount val="4"/>
                <c:pt idx="0">
                  <c:v>33.347553026696055</c:v>
                </c:pt>
                <c:pt idx="1">
                  <c:v>0</c:v>
                </c:pt>
                <c:pt idx="2">
                  <c:v>52.370489005236394</c:v>
                </c:pt>
                <c:pt idx="3">
                  <c:v>5.6783999999999999</c:v>
                </c:pt>
              </c:numCache>
            </c:numRef>
          </c:val>
          <c:extLst>
            <c:ext xmlns:c16="http://schemas.microsoft.com/office/drawing/2014/chart" uri="{C3380CC4-5D6E-409C-BE32-E72D297353CC}">
              <c16:uniqueId val="{00000006-A12C-4E1B-972B-B766EDA1F42F}"/>
            </c:ext>
          </c:extLst>
        </c:ser>
        <c:dLbls>
          <c:showLegendKey val="0"/>
          <c:showVal val="1"/>
          <c:showCatName val="0"/>
          <c:showSerName val="0"/>
          <c:showPercent val="0"/>
          <c:showBubbleSize val="0"/>
          <c:showLeaderLines val="1"/>
        </c:dLbls>
        <c:firstSliceAng val="37"/>
      </c:pieChart>
    </c:plotArea>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sz="1400"/>
            </a:pPr>
            <a:r>
              <a:rPr lang="en-US" sz="1400"/>
              <a:t>Päästöjen jakauma (keittiöt ja jakelu, oletus)</a:t>
            </a:r>
          </a:p>
        </c:rich>
      </c:tx>
      <c:overlay val="1"/>
    </c:title>
    <c:autoTitleDeleted val="0"/>
    <c:plotArea>
      <c:layout>
        <c:manualLayout>
          <c:layoutTarget val="inner"/>
          <c:xMode val="edge"/>
          <c:yMode val="edge"/>
          <c:x val="0.24999999999999997"/>
          <c:y val="0.20218034505507987"/>
          <c:w val="0.46111869866717542"/>
          <c:h val="0.6699703191012667"/>
        </c:manualLayout>
      </c:layout>
      <c:pieChart>
        <c:varyColors val="1"/>
        <c:ser>
          <c:idx val="0"/>
          <c:order val="0"/>
          <c:dLbls>
            <c:dLbl>
              <c:idx val="0"/>
              <c:layout>
                <c:manualLayout>
                  <c:x val="0.10573796484344032"/>
                  <c:y val="7.4124521179538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087-4E9E-994C-5A81DD0844CC}"/>
                </c:ext>
              </c:extLst>
            </c:dLbl>
            <c:dLbl>
              <c:idx val="1"/>
              <c:layout>
                <c:manualLayout>
                  <c:x val="0.15474267897650357"/>
                  <c:y val="-4.657754629629629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087-4E9E-994C-5A81DD0844CC}"/>
                </c:ext>
              </c:extLst>
            </c:dLbl>
            <c:dLbl>
              <c:idx val="2"/>
              <c:layout>
                <c:manualLayout>
                  <c:x val="1.8666585977382761E-2"/>
                  <c:y val="-0.2022891203703704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087-4E9E-994C-5A81DD0844CC}"/>
                </c:ext>
              </c:extLst>
            </c:dLbl>
            <c:dLbl>
              <c:idx val="3"/>
              <c:layout>
                <c:manualLayout>
                  <c:x val="0.1800687649571355"/>
                  <c:y val="0.1958286139970792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087-4E9E-994C-5A81DD0844CC}"/>
                </c:ext>
              </c:extLst>
            </c:dLbl>
            <c:dLbl>
              <c:idx val="4"/>
              <c:layout>
                <c:manualLayout>
                  <c:x val="-6.8766246196464487E-2"/>
                  <c:y val="-2.8180699971016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087-4E9E-994C-5A81DD0844CC}"/>
                </c:ext>
              </c:extLst>
            </c:dLbl>
            <c:dLbl>
              <c:idx val="5"/>
              <c:layout>
                <c:manualLayout>
                  <c:x val="0.1370848659731089"/>
                  <c:y val="7.388853485738045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087-4E9E-994C-5A81DD0844CC}"/>
                </c:ext>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Laskuri!$N$10:$N$13</c:f>
              <c:strCache>
                <c:ptCount val="4"/>
                <c:pt idx="0">
                  <c:v>Sähkönkulutus</c:v>
                </c:pt>
                <c:pt idx="1">
                  <c:v>Cook &amp; chill</c:v>
                </c:pt>
                <c:pt idx="2">
                  <c:v>Lämmönkulutus</c:v>
                </c:pt>
                <c:pt idx="3">
                  <c:v>Jakelu</c:v>
                </c:pt>
              </c:strCache>
            </c:strRef>
          </c:cat>
          <c:val>
            <c:numRef>
              <c:f>Laskuri!$Z$10:$Z$13</c:f>
              <c:numCache>
                <c:formatCode>#,##0</c:formatCode>
                <c:ptCount val="4"/>
                <c:pt idx="0">
                  <c:v>33.347553026696055</c:v>
                </c:pt>
                <c:pt idx="1">
                  <c:v>0</c:v>
                </c:pt>
                <c:pt idx="2">
                  <c:v>52.370489005236394</c:v>
                </c:pt>
                <c:pt idx="3" formatCode="#\ ##0.0">
                  <c:v>5.6783999999999999</c:v>
                </c:pt>
              </c:numCache>
            </c:numRef>
          </c:val>
          <c:extLst>
            <c:ext xmlns:c16="http://schemas.microsoft.com/office/drawing/2014/chart" uri="{C3380CC4-5D6E-409C-BE32-E72D297353CC}">
              <c16:uniqueId val="{00000006-B087-4E9E-994C-5A81DD0844CC}"/>
            </c:ext>
          </c:extLst>
        </c:ser>
        <c:dLbls>
          <c:showLegendKey val="0"/>
          <c:showVal val="1"/>
          <c:showCatName val="0"/>
          <c:showSerName val="0"/>
          <c:showPercent val="0"/>
          <c:showBubbleSize val="0"/>
          <c:showLeaderLines val="1"/>
        </c:dLbls>
        <c:firstSliceAng val="37"/>
      </c:pieChart>
    </c:plotArea>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400"/>
            </a:pPr>
            <a:r>
              <a:rPr lang="fi-FI" sz="1400"/>
              <a:t>Khk-päästöt / vuosi</a:t>
            </a:r>
          </a:p>
        </c:rich>
      </c:tx>
      <c:overlay val="1"/>
    </c:title>
    <c:autoTitleDeleted val="0"/>
    <c:plotArea>
      <c:layout>
        <c:manualLayout>
          <c:layoutTarget val="inner"/>
          <c:xMode val="edge"/>
          <c:yMode val="edge"/>
          <c:x val="0.15230066421421457"/>
          <c:y val="0.16421573671734543"/>
          <c:w val="0.55360310519625877"/>
          <c:h val="0.74146690832954876"/>
        </c:manualLayout>
      </c:layout>
      <c:barChart>
        <c:barDir val="col"/>
        <c:grouping val="stacked"/>
        <c:varyColors val="0"/>
        <c:ser>
          <c:idx val="0"/>
          <c:order val="0"/>
          <c:tx>
            <c:strRef>
              <c:f>Laskuri!$N$10</c:f>
              <c:strCache>
                <c:ptCount val="1"/>
                <c:pt idx="0">
                  <c:v>Sähkönkulutus</c:v>
                </c:pt>
              </c:strCache>
            </c:strRef>
          </c:tx>
          <c:invertIfNegative val="0"/>
          <c:cat>
            <c:strRef>
              <c:f>Laskuri!$O$8</c:f>
              <c:strCache>
                <c:ptCount val="1"/>
                <c:pt idx="0">
                  <c:v>Lähtötilanne</c:v>
                </c:pt>
              </c:strCache>
            </c:strRef>
          </c:cat>
          <c:val>
            <c:numRef>
              <c:f>Laskuri!$O$10:$P$10</c:f>
              <c:numCache>
                <c:formatCode>#,##0</c:formatCode>
                <c:ptCount val="2"/>
                <c:pt idx="0">
                  <c:v>125.13669273267693</c:v>
                </c:pt>
                <c:pt idx="1">
                  <c:v>125.13669273267696</c:v>
                </c:pt>
              </c:numCache>
            </c:numRef>
          </c:val>
          <c:extLst>
            <c:ext xmlns:c16="http://schemas.microsoft.com/office/drawing/2014/chart" uri="{C3380CC4-5D6E-409C-BE32-E72D297353CC}">
              <c16:uniqueId val="{00000000-B23F-4724-8E2D-0CED8B7BBB49}"/>
            </c:ext>
          </c:extLst>
        </c:ser>
        <c:ser>
          <c:idx val="1"/>
          <c:order val="1"/>
          <c:tx>
            <c:strRef>
              <c:f>Laskuri!$N$12</c:f>
              <c:strCache>
                <c:ptCount val="1"/>
                <c:pt idx="0">
                  <c:v>Lämmönkulutus</c:v>
                </c:pt>
              </c:strCache>
            </c:strRef>
          </c:tx>
          <c:invertIfNegative val="0"/>
          <c:cat>
            <c:strRef>
              <c:f>Laskuri!$O$8</c:f>
              <c:strCache>
                <c:ptCount val="1"/>
                <c:pt idx="0">
                  <c:v>Lähtötilanne</c:v>
                </c:pt>
              </c:strCache>
            </c:strRef>
          </c:cat>
          <c:val>
            <c:numRef>
              <c:f>Laskuri!$O$12:$P$12</c:f>
              <c:numCache>
                <c:formatCode>#,##0</c:formatCode>
                <c:ptCount val="2"/>
                <c:pt idx="0">
                  <c:v>196.52025999214956</c:v>
                </c:pt>
                <c:pt idx="1">
                  <c:v>196.52025999214956</c:v>
                </c:pt>
              </c:numCache>
            </c:numRef>
          </c:val>
          <c:extLst>
            <c:ext xmlns:c16="http://schemas.microsoft.com/office/drawing/2014/chart" uri="{C3380CC4-5D6E-409C-BE32-E72D297353CC}">
              <c16:uniqueId val="{00000001-B23F-4724-8E2D-0CED8B7BBB49}"/>
            </c:ext>
          </c:extLst>
        </c:ser>
        <c:ser>
          <c:idx val="2"/>
          <c:order val="2"/>
          <c:tx>
            <c:strRef>
              <c:f>Laskuri!$N$11</c:f>
              <c:strCache>
                <c:ptCount val="1"/>
                <c:pt idx="0">
                  <c:v>Cook &amp; chill</c:v>
                </c:pt>
              </c:strCache>
            </c:strRef>
          </c:tx>
          <c:invertIfNegative val="0"/>
          <c:cat>
            <c:strRef>
              <c:f>Laskuri!$O$8</c:f>
              <c:strCache>
                <c:ptCount val="1"/>
                <c:pt idx="0">
                  <c:v>Lähtötilanne</c:v>
                </c:pt>
              </c:strCache>
            </c:strRef>
          </c:cat>
          <c:val>
            <c:numRef>
              <c:f>Laskuri!$O$11:$P$11</c:f>
              <c:numCache>
                <c:formatCode>#,##0</c:formatCode>
                <c:ptCount val="2"/>
                <c:pt idx="0">
                  <c:v>0</c:v>
                </c:pt>
                <c:pt idx="1">
                  <c:v>0</c:v>
                </c:pt>
              </c:numCache>
            </c:numRef>
          </c:val>
          <c:extLst>
            <c:ext xmlns:c16="http://schemas.microsoft.com/office/drawing/2014/chart" uri="{C3380CC4-5D6E-409C-BE32-E72D297353CC}">
              <c16:uniqueId val="{00000002-B23F-4724-8E2D-0CED8B7BBB49}"/>
            </c:ext>
          </c:extLst>
        </c:ser>
        <c:ser>
          <c:idx val="3"/>
          <c:order val="3"/>
          <c:tx>
            <c:strRef>
              <c:f>Laskuri!$N$13</c:f>
              <c:strCache>
                <c:ptCount val="1"/>
                <c:pt idx="0">
                  <c:v>Jakelu</c:v>
                </c:pt>
              </c:strCache>
            </c:strRef>
          </c:tx>
          <c:invertIfNegative val="0"/>
          <c:cat>
            <c:strRef>
              <c:f>Laskuri!$O$8</c:f>
              <c:strCache>
                <c:ptCount val="1"/>
                <c:pt idx="0">
                  <c:v>Lähtötilanne</c:v>
                </c:pt>
              </c:strCache>
            </c:strRef>
          </c:cat>
          <c:val>
            <c:numRef>
              <c:f>Laskuri!$O$13:$P$13</c:f>
              <c:numCache>
                <c:formatCode>#,##0</c:formatCode>
                <c:ptCount val="2"/>
                <c:pt idx="0">
                  <c:v>21.308195999999999</c:v>
                </c:pt>
                <c:pt idx="1">
                  <c:v>21.308195999999999</c:v>
                </c:pt>
              </c:numCache>
            </c:numRef>
          </c:val>
          <c:extLst>
            <c:ext xmlns:c16="http://schemas.microsoft.com/office/drawing/2014/chart" uri="{C3380CC4-5D6E-409C-BE32-E72D297353CC}">
              <c16:uniqueId val="{00000003-B23F-4724-8E2D-0CED8B7BBB49}"/>
            </c:ext>
          </c:extLst>
        </c:ser>
        <c:ser>
          <c:idx val="4"/>
          <c:order val="4"/>
          <c:tx>
            <c:strRef>
              <c:f>Laskuri!$N$14</c:f>
              <c:strCache>
                <c:ptCount val="1"/>
                <c:pt idx="0">
                  <c:v>Ruoka</c:v>
                </c:pt>
              </c:strCache>
            </c:strRef>
          </c:tx>
          <c:invertIfNegative val="0"/>
          <c:cat>
            <c:strRef>
              <c:f>Laskuri!$O$8</c:f>
              <c:strCache>
                <c:ptCount val="1"/>
                <c:pt idx="0">
                  <c:v>Lähtötilanne</c:v>
                </c:pt>
              </c:strCache>
            </c:strRef>
          </c:cat>
          <c:val>
            <c:numRef>
              <c:f>Laskuri!$O$14:$P$14</c:f>
              <c:numCache>
                <c:formatCode>#,##0</c:formatCode>
                <c:ptCount val="2"/>
                <c:pt idx="0">
                  <c:v>4465.4750000000004</c:v>
                </c:pt>
                <c:pt idx="1">
                  <c:v>4465.4750000000004</c:v>
                </c:pt>
              </c:numCache>
            </c:numRef>
          </c:val>
          <c:extLst>
            <c:ext xmlns:c16="http://schemas.microsoft.com/office/drawing/2014/chart" uri="{C3380CC4-5D6E-409C-BE32-E72D297353CC}">
              <c16:uniqueId val="{00000004-B23F-4724-8E2D-0CED8B7BBB49}"/>
            </c:ext>
          </c:extLst>
        </c:ser>
        <c:ser>
          <c:idx val="5"/>
          <c:order val="5"/>
          <c:tx>
            <c:strRef>
              <c:f>Laskuri!$N$15</c:f>
              <c:strCache>
                <c:ptCount val="1"/>
                <c:pt idx="0">
                  <c:v>Ruokahävikki</c:v>
                </c:pt>
              </c:strCache>
            </c:strRef>
          </c:tx>
          <c:invertIfNegative val="0"/>
          <c:cat>
            <c:strRef>
              <c:f>Laskuri!$O$8</c:f>
              <c:strCache>
                <c:ptCount val="1"/>
                <c:pt idx="0">
                  <c:v>Lähtötilanne</c:v>
                </c:pt>
              </c:strCache>
            </c:strRef>
          </c:cat>
          <c:val>
            <c:numRef>
              <c:f>Laskuri!$O$15:$P$15</c:f>
              <c:numCache>
                <c:formatCode>#,##0</c:formatCode>
                <c:ptCount val="2"/>
                <c:pt idx="0">
                  <c:v>535.85699999999997</c:v>
                </c:pt>
                <c:pt idx="1">
                  <c:v>535.85699999999997</c:v>
                </c:pt>
              </c:numCache>
            </c:numRef>
          </c:val>
          <c:extLst>
            <c:ext xmlns:c16="http://schemas.microsoft.com/office/drawing/2014/chart" uri="{C3380CC4-5D6E-409C-BE32-E72D297353CC}">
              <c16:uniqueId val="{00000005-B23F-4724-8E2D-0CED8B7BBB49}"/>
            </c:ext>
          </c:extLst>
        </c:ser>
        <c:dLbls>
          <c:showLegendKey val="0"/>
          <c:showVal val="0"/>
          <c:showCatName val="0"/>
          <c:showSerName val="0"/>
          <c:showPercent val="0"/>
          <c:showBubbleSize val="0"/>
        </c:dLbls>
        <c:gapWidth val="150"/>
        <c:overlap val="100"/>
        <c:axId val="400987264"/>
        <c:axId val="400988800"/>
      </c:barChart>
      <c:catAx>
        <c:axId val="400987264"/>
        <c:scaling>
          <c:orientation val="minMax"/>
        </c:scaling>
        <c:delete val="0"/>
        <c:axPos val="b"/>
        <c:numFmt formatCode="General" sourceLinked="0"/>
        <c:majorTickMark val="none"/>
        <c:minorTickMark val="none"/>
        <c:tickLblPos val="nextTo"/>
        <c:crossAx val="400988800"/>
        <c:crosses val="autoZero"/>
        <c:auto val="1"/>
        <c:lblAlgn val="ctr"/>
        <c:lblOffset val="100"/>
        <c:noMultiLvlLbl val="0"/>
      </c:catAx>
      <c:valAx>
        <c:axId val="400988800"/>
        <c:scaling>
          <c:orientation val="minMax"/>
        </c:scaling>
        <c:delete val="0"/>
        <c:axPos val="l"/>
        <c:majorGridlines>
          <c:spPr>
            <a:ln>
              <a:solidFill>
                <a:schemeClr val="bg1">
                  <a:lumMod val="85000"/>
                </a:schemeClr>
              </a:solidFill>
            </a:ln>
          </c:spPr>
        </c:majorGridlines>
        <c:title>
          <c:tx>
            <c:rich>
              <a:bodyPr rot="-5400000" vert="horz"/>
              <a:lstStyle/>
              <a:p>
                <a:pPr>
                  <a:defRPr b="0"/>
                </a:pPr>
                <a:r>
                  <a:rPr lang="en-US" b="0"/>
                  <a:t>tCO</a:t>
                </a:r>
                <a:r>
                  <a:rPr lang="en-US" b="0" baseline="-25000"/>
                  <a:t>2</a:t>
                </a:r>
                <a:r>
                  <a:rPr lang="en-US" b="0"/>
                  <a:t>-ekv./vuosi</a:t>
                </a:r>
              </a:p>
            </c:rich>
          </c:tx>
          <c:layout>
            <c:manualLayout>
              <c:xMode val="edge"/>
              <c:yMode val="edge"/>
              <c:x val="1.5746732026143786E-3"/>
              <c:y val="0.35796944444444445"/>
            </c:manualLayout>
          </c:layout>
          <c:overlay val="0"/>
        </c:title>
        <c:numFmt formatCode="#,##0" sourceLinked="0"/>
        <c:majorTickMark val="none"/>
        <c:minorTickMark val="none"/>
        <c:tickLblPos val="nextTo"/>
        <c:spPr>
          <a:ln>
            <a:noFill/>
          </a:ln>
        </c:spPr>
        <c:crossAx val="400987264"/>
        <c:crosses val="autoZero"/>
        <c:crossBetween val="between"/>
      </c:valAx>
    </c:plotArea>
    <c:legend>
      <c:legendPos val="r"/>
      <c:layout>
        <c:manualLayout>
          <c:xMode val="edge"/>
          <c:yMode val="edge"/>
          <c:x val="0.74243962673331554"/>
          <c:y val="0.30031872608353832"/>
          <c:w val="0.22914363197166121"/>
          <c:h val="0.3993625478329233"/>
        </c:manualLayout>
      </c:layout>
      <c:overlay val="0"/>
    </c:legend>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400"/>
            </a:pPr>
            <a:r>
              <a:rPr lang="fi-FI" sz="1400"/>
              <a:t>Khk-päästöt / vuosi (keittiöt ja jakelu)</a:t>
            </a:r>
          </a:p>
        </c:rich>
      </c:tx>
      <c:overlay val="1"/>
    </c:title>
    <c:autoTitleDeleted val="0"/>
    <c:plotArea>
      <c:layout>
        <c:manualLayout>
          <c:layoutTarget val="inner"/>
          <c:xMode val="edge"/>
          <c:yMode val="edge"/>
          <c:x val="0.15230066421421457"/>
          <c:y val="0.16421573671734543"/>
          <c:w val="0.55360310519625877"/>
          <c:h val="0.74146690832954876"/>
        </c:manualLayout>
      </c:layout>
      <c:barChart>
        <c:barDir val="col"/>
        <c:grouping val="stacked"/>
        <c:varyColors val="0"/>
        <c:ser>
          <c:idx val="0"/>
          <c:order val="0"/>
          <c:tx>
            <c:strRef>
              <c:f>Laskuri!$N$10</c:f>
              <c:strCache>
                <c:ptCount val="1"/>
                <c:pt idx="0">
                  <c:v>Sähkönkulutus</c:v>
                </c:pt>
              </c:strCache>
            </c:strRef>
          </c:tx>
          <c:invertIfNegative val="0"/>
          <c:cat>
            <c:strRef>
              <c:f>Laskuri!$O$8</c:f>
              <c:strCache>
                <c:ptCount val="1"/>
                <c:pt idx="0">
                  <c:v>Lähtötilanne</c:v>
                </c:pt>
              </c:strCache>
            </c:strRef>
          </c:cat>
          <c:val>
            <c:numRef>
              <c:f>Laskuri!$O$10:$P$10</c:f>
              <c:numCache>
                <c:formatCode>#,##0</c:formatCode>
                <c:ptCount val="2"/>
                <c:pt idx="0">
                  <c:v>125.13669273267693</c:v>
                </c:pt>
                <c:pt idx="1">
                  <c:v>125.13669273267696</c:v>
                </c:pt>
              </c:numCache>
            </c:numRef>
          </c:val>
          <c:extLst>
            <c:ext xmlns:c16="http://schemas.microsoft.com/office/drawing/2014/chart" uri="{C3380CC4-5D6E-409C-BE32-E72D297353CC}">
              <c16:uniqueId val="{00000000-033E-4BC5-BEF0-41018DB610FB}"/>
            </c:ext>
          </c:extLst>
        </c:ser>
        <c:ser>
          <c:idx val="1"/>
          <c:order val="1"/>
          <c:tx>
            <c:strRef>
              <c:f>Laskuri!$N$12</c:f>
              <c:strCache>
                <c:ptCount val="1"/>
                <c:pt idx="0">
                  <c:v>Lämmönkulutus</c:v>
                </c:pt>
              </c:strCache>
            </c:strRef>
          </c:tx>
          <c:invertIfNegative val="0"/>
          <c:cat>
            <c:strRef>
              <c:f>Laskuri!$O$8</c:f>
              <c:strCache>
                <c:ptCount val="1"/>
                <c:pt idx="0">
                  <c:v>Lähtötilanne</c:v>
                </c:pt>
              </c:strCache>
            </c:strRef>
          </c:cat>
          <c:val>
            <c:numRef>
              <c:f>Laskuri!$O$12:$P$12</c:f>
              <c:numCache>
                <c:formatCode>#,##0</c:formatCode>
                <c:ptCount val="2"/>
                <c:pt idx="0">
                  <c:v>196.52025999214956</c:v>
                </c:pt>
                <c:pt idx="1">
                  <c:v>196.52025999214956</c:v>
                </c:pt>
              </c:numCache>
            </c:numRef>
          </c:val>
          <c:extLst>
            <c:ext xmlns:c16="http://schemas.microsoft.com/office/drawing/2014/chart" uri="{C3380CC4-5D6E-409C-BE32-E72D297353CC}">
              <c16:uniqueId val="{00000001-033E-4BC5-BEF0-41018DB610FB}"/>
            </c:ext>
          </c:extLst>
        </c:ser>
        <c:ser>
          <c:idx val="2"/>
          <c:order val="2"/>
          <c:tx>
            <c:strRef>
              <c:f>Laskuri!$N$11</c:f>
              <c:strCache>
                <c:ptCount val="1"/>
                <c:pt idx="0">
                  <c:v>Cook &amp; chill</c:v>
                </c:pt>
              </c:strCache>
            </c:strRef>
          </c:tx>
          <c:invertIfNegative val="0"/>
          <c:cat>
            <c:strRef>
              <c:f>Laskuri!$O$8</c:f>
              <c:strCache>
                <c:ptCount val="1"/>
                <c:pt idx="0">
                  <c:v>Lähtötilanne</c:v>
                </c:pt>
              </c:strCache>
            </c:strRef>
          </c:cat>
          <c:val>
            <c:numRef>
              <c:f>Laskuri!$O$11:$P$11</c:f>
              <c:numCache>
                <c:formatCode>#,##0</c:formatCode>
                <c:ptCount val="2"/>
                <c:pt idx="0">
                  <c:v>0</c:v>
                </c:pt>
                <c:pt idx="1">
                  <c:v>0</c:v>
                </c:pt>
              </c:numCache>
            </c:numRef>
          </c:val>
          <c:extLst>
            <c:ext xmlns:c16="http://schemas.microsoft.com/office/drawing/2014/chart" uri="{C3380CC4-5D6E-409C-BE32-E72D297353CC}">
              <c16:uniqueId val="{00000002-033E-4BC5-BEF0-41018DB610FB}"/>
            </c:ext>
          </c:extLst>
        </c:ser>
        <c:ser>
          <c:idx val="3"/>
          <c:order val="3"/>
          <c:tx>
            <c:strRef>
              <c:f>Laskuri!$N$13</c:f>
              <c:strCache>
                <c:ptCount val="1"/>
                <c:pt idx="0">
                  <c:v>Jakelu</c:v>
                </c:pt>
              </c:strCache>
            </c:strRef>
          </c:tx>
          <c:invertIfNegative val="0"/>
          <c:cat>
            <c:strRef>
              <c:f>Laskuri!$O$8</c:f>
              <c:strCache>
                <c:ptCount val="1"/>
                <c:pt idx="0">
                  <c:v>Lähtötilanne</c:v>
                </c:pt>
              </c:strCache>
            </c:strRef>
          </c:cat>
          <c:val>
            <c:numRef>
              <c:f>Laskuri!$O$13:$P$13</c:f>
              <c:numCache>
                <c:formatCode>#,##0</c:formatCode>
                <c:ptCount val="2"/>
                <c:pt idx="0">
                  <c:v>21.308195999999999</c:v>
                </c:pt>
                <c:pt idx="1">
                  <c:v>21.308195999999999</c:v>
                </c:pt>
              </c:numCache>
            </c:numRef>
          </c:val>
          <c:extLst>
            <c:ext xmlns:c16="http://schemas.microsoft.com/office/drawing/2014/chart" uri="{C3380CC4-5D6E-409C-BE32-E72D297353CC}">
              <c16:uniqueId val="{00000003-033E-4BC5-BEF0-41018DB610FB}"/>
            </c:ext>
          </c:extLst>
        </c:ser>
        <c:dLbls>
          <c:showLegendKey val="0"/>
          <c:showVal val="0"/>
          <c:showCatName val="0"/>
          <c:showSerName val="0"/>
          <c:showPercent val="0"/>
          <c:showBubbleSize val="0"/>
        </c:dLbls>
        <c:gapWidth val="150"/>
        <c:overlap val="100"/>
        <c:axId val="42735104"/>
        <c:axId val="42736640"/>
      </c:barChart>
      <c:catAx>
        <c:axId val="42735104"/>
        <c:scaling>
          <c:orientation val="minMax"/>
        </c:scaling>
        <c:delete val="0"/>
        <c:axPos val="b"/>
        <c:numFmt formatCode="General" sourceLinked="0"/>
        <c:majorTickMark val="none"/>
        <c:minorTickMark val="none"/>
        <c:tickLblPos val="nextTo"/>
        <c:crossAx val="42736640"/>
        <c:crosses val="autoZero"/>
        <c:auto val="1"/>
        <c:lblAlgn val="ctr"/>
        <c:lblOffset val="100"/>
        <c:noMultiLvlLbl val="0"/>
      </c:catAx>
      <c:valAx>
        <c:axId val="42736640"/>
        <c:scaling>
          <c:orientation val="minMax"/>
        </c:scaling>
        <c:delete val="0"/>
        <c:axPos val="l"/>
        <c:majorGridlines>
          <c:spPr>
            <a:ln>
              <a:solidFill>
                <a:schemeClr val="bg1">
                  <a:lumMod val="85000"/>
                </a:schemeClr>
              </a:solidFill>
            </a:ln>
          </c:spPr>
        </c:majorGridlines>
        <c:title>
          <c:tx>
            <c:rich>
              <a:bodyPr rot="-5400000" vert="horz"/>
              <a:lstStyle/>
              <a:p>
                <a:pPr>
                  <a:defRPr b="0"/>
                </a:pPr>
                <a:r>
                  <a:rPr lang="en-US" b="0"/>
                  <a:t>tCO</a:t>
                </a:r>
                <a:r>
                  <a:rPr lang="en-US" b="0" baseline="-25000"/>
                  <a:t>2</a:t>
                </a:r>
                <a:r>
                  <a:rPr lang="en-US" b="0"/>
                  <a:t>-ekv./vuosi</a:t>
                </a:r>
              </a:p>
            </c:rich>
          </c:tx>
          <c:layout>
            <c:manualLayout>
              <c:xMode val="edge"/>
              <c:yMode val="edge"/>
              <c:x val="1.5746732026143786E-3"/>
              <c:y val="0.35796944444444445"/>
            </c:manualLayout>
          </c:layout>
          <c:overlay val="0"/>
        </c:title>
        <c:numFmt formatCode="#,##0" sourceLinked="0"/>
        <c:majorTickMark val="none"/>
        <c:minorTickMark val="none"/>
        <c:tickLblPos val="nextTo"/>
        <c:spPr>
          <a:ln>
            <a:noFill/>
          </a:ln>
        </c:spPr>
        <c:crossAx val="42735104"/>
        <c:crosses val="autoZero"/>
        <c:crossBetween val="between"/>
      </c:valAx>
    </c:plotArea>
    <c:legend>
      <c:legendPos val="r"/>
      <c:layout>
        <c:manualLayout>
          <c:xMode val="edge"/>
          <c:yMode val="edge"/>
          <c:x val="0.74243962673331554"/>
          <c:y val="0.30031872608353832"/>
          <c:w val="0.22914359534891823"/>
          <c:h val="0.3993625478329233"/>
        </c:manualLayout>
      </c:layout>
      <c:overlay val="0"/>
    </c:legend>
    <c:plotVisOnly val="1"/>
    <c:dispBlanksAs val="gap"/>
    <c:showDLblsOverMax val="0"/>
  </c:chart>
  <c:spPr>
    <a:ln>
      <a:noFill/>
    </a:ln>
  </c:spPr>
  <c:txPr>
    <a:bodyPr/>
    <a:lstStyle/>
    <a:p>
      <a:pPr>
        <a:defRPr sz="1400"/>
      </a:pPr>
      <a:endParaRPr lang="fi-FI"/>
    </a:p>
  </c:txPr>
  <c:printSettings>
    <c:headerFooter/>
    <c:pageMargins b="0.75" l="0.7" r="0.7" t="0.75" header="0.3" footer="0.3"/>
    <c:pageSetup/>
  </c:printSettings>
</c:chartSpace>
</file>

<file path=xl/ctrlProps/ctrlProp1.xml><?xml version="1.0" encoding="utf-8"?>
<formControlPr xmlns="http://schemas.microsoft.com/office/spreadsheetml/2009/9/main" objectType="Scroll" dx="16" fmlaLink="$J$7" horiz="1" max="100" noThreeD="1" page="10" val="30"/>
</file>

<file path=xl/ctrlProps/ctrlProp2.xml><?xml version="1.0" encoding="utf-8"?>
<formControlPr xmlns="http://schemas.microsoft.com/office/spreadsheetml/2009/9/main" objectType="Scroll" dx="16" fmlaLink="$J$26" horiz="1" max="100" noThreeD="1" page="10" val="12"/>
</file>

<file path=xl/ctrlProps/ctrlProp3.xml><?xml version="1.0" encoding="utf-8"?>
<formControlPr xmlns="http://schemas.microsoft.com/office/spreadsheetml/2009/9/main" objectType="Scroll" dx="16" fmlaLink="$J$24" horiz="1" max="100" noThreeD="1" page="10" val="76"/>
</file>

<file path=xl/ctrlProps/ctrlProp4.xml><?xml version="1.0" encoding="utf-8"?>
<formControlPr xmlns="http://schemas.microsoft.com/office/spreadsheetml/2009/9/main" objectType="Scroll" dx="16" fmlaLink="$J$21" horiz="1" max="100" noThreeD="1" page="10" val="0"/>
</file>

<file path=xl/ctrlProps/ctrlProp5.xml><?xml version="1.0" encoding="utf-8"?>
<formControlPr xmlns="http://schemas.microsoft.com/office/spreadsheetml/2009/9/main" objectType="Scroll" dx="16" fmlaLink="$J$19" horiz="1" max="7" noThreeD="1" page="0" val="2"/>
</file>

<file path=xl/ctrlProps/ctrlProp6.xml><?xml version="1.0" encoding="utf-8"?>
<formControlPr xmlns="http://schemas.microsoft.com/office/spreadsheetml/2009/9/main" objectType="Scroll" dx="16" fmlaLink="$J$14" horiz="1" max="100" noThreeD="1" page="10" val="50"/>
</file>

<file path=xl/ctrlProps/ctrlProp7.xml><?xml version="1.0" encoding="utf-8"?>
<formControlPr xmlns="http://schemas.microsoft.com/office/spreadsheetml/2009/9/main" objectType="Scroll" dx="16" fmlaLink="$I$9" horiz="1" max="100" noThreeD="1" page="10" val="0"/>
</file>

<file path=xl/drawings/_rels/drawing1.xml.rels><?xml version="1.0" encoding="UTF-8" standalone="yes"?>
<Relationships xmlns="http://schemas.openxmlformats.org/package/2006/relationships"><Relationship Id="rId2" Type="http://schemas.openxmlformats.org/officeDocument/2006/relationships/image" Target="cid:image001.png@01D45C9E.3549BC8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121920</xdr:rowOff>
    </xdr:to>
    <xdr:sp macro="" textlink="">
      <xdr:nvSpPr>
        <xdr:cNvPr id="4097" name="AutoShape 1" descr="data:image/png;base64,iVBORw0KGgoAAAANSUhEUgAAAUEAAAGRCAYAAAD7MAEeAAAAAXNSR0IArs4c6QAAAARnQU1BAACxjwv8YQUAAAAJcEhZcwAADsQAAA7EAZUrDhsAAFKXSURBVHhe7Z1xcBTHmehbxJUYJ8QFsrANWtdBJFCsM7HZOFgPcIhD9EQssM8HcSyfnJSN7QqhiN+7pEzq/lj2qlKW34VXtkr4yrLwu4sOOS6c+BnkQgWYswOccB2r3NknGRCBlFfYhrWgiP2Ckzj47dfTPdvb2z3TMzsrVtvfr0oFOzM72zPT3dPTPf39qv7rv/7rE4IgCGIhjY2NU2gl+Itf/KKKLbOOv/7rv7b6+CsR269p9vgvZgv3p/7+7/8eGzge8PM0hX1GEASxEqwEEQSxGqwEEQSxGqwEK5TMwZ6/Tew4+s/sI4IgGiKtBC8eGbx1cPziTewj+cxnTn1usKfneXFZlFy8ePzaHYnEbxKJnvdL9RulxO98BV3Pge2Oj6RXxBvmbWeLQnFxfPCmnp7B50995jOfY4tcdL8ddHmpOboj8c87jn3Syj66lDpvThbk6+J3nXR5wus8H+rp+Tnf5/jBHWtV+x8/ePBbxy9evNb5v/82wCfHdrQmEomLPQczP2SLQlFQCcLBZHf8ifiX/ZG/ZauV6/nBjx4beGD4yPhtdMMsb2zv3jLwSWP1dbOmjsJn/l1xfzQzPpPY6/cb4npe+SWTve+Qezf9YNO9M7870JkcSiR2/EY8SWFwf1vRiuJpFdPjdT78jsPvfAVdz7nwztv1w2MLP3993Scp+Bz0mABY/vovB/4hnR741q59Yw+zxS663w66vNTMqI69kXrt0CNyof3ozdSygfTML9dMJ+/B5zDnqNwR01345zQc5OvidZ1onnhx4H+p8oR7nn//+2lsEQXO8670zJtrpn50Gr5/7K3U3fL+neW7Hxw5XhU33WawJ7Fn0zby5Jq/W9fQ+FbXf088M7hX/m1TlC3BWPP6HyaTySr4W98c+2F69+A6sXIR18PfqnlV/WyVCzyO9Z1umf3Q+mV3zv7DHz5ki0ltbe2/pXe/9GOvuw3glYbR/t6OVG3LyYc6OqbBb1fNW9Xf0fHQtJba1Mne/tEOuoMiiH35y8/HUvtvkdPIK5eFC8letojidT78ziVHd744futFRg8OPJKON7xVN2XKu2xR4GPiy1esiG1OjxxfoWoNTgaqGxr3xcaGY2+/c6GeLaIcO5JaQ+LzDxRzjsqdP/xh9odNDyaXQ95LJNpnxQk5Eb9300onP669qql6yq/ZpkbQ85BeeKWbJ4RKh5/nEx9clneeR4+kVsN57n38cfc8F4uTjvjn2x9dvvQvP331saa1yW8kH2xaPvuKKz5gmwTC93H4qpqZR9l/jYFmatfumevaH1jULhfYquvv/GVbPP3ywMHRR9giX8Q0QCvwaIosiX/1lifEfcMFv+Wr8SdI6uiSYluD5Kr5bzXWptPy3QgqF9L8355vqCLvsEWB0J1Lr/MF+K0XgfNzJBX7Ysvi+ifYIoeAxzR+ZPg2qEi/Ut+4TVWJTBamzrpuVD5uNw/J3QUluu6VQkGeuHB5HVvlnOdY+u2jx89/jS1iedE5z9mKN+J3FlNzR96+PFuvF49nJQgHsXNb6slYc9NT4h3Tk7OHbt667czmlg2tq3XfqV/c8oTqjquiIA3nMtecIbGPa6o/OcU2cfmkuuZUjJz5OHOOXMMWhePidFqhiq02Xrk0NlTvo9sERHsu/c6XwfkUqTo+Eh+qbfwdf2R2CXBM8LjB+xRVlchkAm6OddfHdomtWThHKRInvLvApQTXvVKgeeKtdIubJ7IVnpgn6Hn+YmxAbCGy81x1fe2FIbpRREypbvr1rXHycuq55I5iHoM5ykowvbvrp9BvwPvc1i6u2cxWUfh6+geJEB6V0ocP350m6XmZ8arZbFEBcBBL4+lDA798/R/e+ehy5WOWLg1V45nZaTLzMt6XUyo+qbs+FScpAn0Q8Hl88NW2ofjSt1SPEJ7nw+9c+pwvk/MpAo95sevrdilblIbHxB//oJLgLexKeiRWPQpzglx3m+CPwlCh0Txxa/xJ1SPxdWMjtfyRuBSPwpx5q5LfTWxoWRgbG/hS9+OP/66niMERzz5B+JEz2zb9kzzqk9cHBs/iQoGDddD3ldq280mvx1LaGhwbuHFwlCxji/LQpSGy1p4PU6bUvTs/Tg6kjhxbI7aM2Oo8/M6H6jg4fufL9HwCfq0W02Oijz1k6ObeZPIdqMA3bUvtJGMDX0+9+ZHyWpU7/KYLLRd+jgq6CxhBrrtNuHni8cdP5eWJty9384Rznt8+BI/E/DwvXzTnyWz+L8n0Pfi9tclkzaZ74yvTu196dP/pPy5kqwLh+TjsHFS22ZnNEGyRETWL125ui6cO9G59vVfXeoB939Ece+zff3Xgf56pIp9niwsoSMP0mvdmkvRlqsczeqFqG9MFj4Ih4Y/t+/al/scAaSHxGy5/la0KjNe59DtfJucToK0W1aOwgN8xQeYd3J1exz7mETQflBPzGuLboeVy7viRrxZ7jmyD5YnvsY95pI6Nrmb/pdQ3xF/g5zlV2/jB3Gkfu+cZWpDVM8mp9PjZBdmK1J3bfeHChWmZNJkD//fd5uInBXPCndZ7+vy5c5cZPS3J+A6MQOYhqf23m/TfidS3tm+Mjw3MUb1ewaluWtYXTw9VD6XJzWyREjENcKduao49JY8wO4MH6Z/KAybFwPvDdu9O/b3uETMIXufS73z5reetFr90+h0T7y9rTyRmua3b7B/cbSMZdLpEQEFZODb8+Rd/9e/JYs+RbfC+vfZHH52tzBO///0stqlTIY0NT3PPszRiC5Vktgx8c/m6v3PLANy8xb5Dz22u+yglv0fopC925fTpHxeME5jgWwlefkP81Zba9H+ILa+8PrDsn+rdKaisWje0rCa7u34sPwJyYJuV98Z/wD5qkdPgtIzSLzvvBjppgOY5DP+rXtcJC+8Pyz6Ujnt1jJucD0B1Ljl+58tvPe/HW9ZU3ccWKfE7Jl1/mdxXBuQfd+6Fdd3ySwmcv4Z4+q10OlbtN8hhet0rFfn6bf1VajPNE1dckTc6zvLEJyNjU93HUPE8z6+78l/ZYhd4nW19M+nY+9RPUvw36JsPjy5fyvcvbHNYtc30hprUcGdyN19Hy/4999+/9OpPhxqAwVBaFRJ2Cd4j7BpfuiC5av532CJrwVBaGErLBAylVUFgBz6ChAcrwQoAHt9gZkCUXQEIYgtYCSIIYjXoGEEQxFrQMZLF9k70SgQHRnBgxAQcGEEQBMmClSCCIFaDlSCCIFaDlSCCIFajrQRh0jT1d0jhxmUHAbyoq3I1ePkpdDBngHLaGd1fIvG+Kvw5/55qXbnhdYzFcKkcHog/nvmalzMpBBuHfleTr918r/mujG5fXmWrGFj6LsJ+s/+W7UBVwegwXJT+ZO+BFCFz2SIKhHSCWHjgYthfvf4NHhcPPsth36FifLWr+/8OjJGv8+/Bch3q34yfaE+0Lmmc+u4Hzr7ic+Dzn/uTHX2p2O0tG+7/xqLpJ96j34u3HUi0fmqjsw+Y/N+6xCQAKSCPJNLjSZH7SLztZ/IUNNVxudsLqI459934nHsSi1vObe38R4hQws+b335M1hdcl+z24jY8DcPXr9/1/dv++DQ/FliXT2wczu+Mg8lH5N/k87NNj/tSUC6jw175GvInneq4m/wYznXdkWdvowFA2PkV8xqpbXlFLF/ufkExkV3+6X1bHn6J3EH4uZdHh3X7EvOkWLaWr7uvWZ6H615vXbnY0v3iQJoshzxwf9P5vmz69mfL5UFWLvc7ARhy84PLAe3osOjvECNGqDK3znvBJ/Ob+ilg0vWqZPIL/LdosESSuhIm61MhDrtIkHHmr0p+B4InQBAC93vZi8IDDEQRa7AYxwj1iCiOmX8XjqNhSvUodT9oYg+6+5F8JH7rZbx8LnyWCezLyz8h/ib8hfGn2IpXvobW10u7yUNQAcK5hqAgNG4kk0KBVCvz1U1PwDK2OxdaRrM3fp5/4LteNx/dvnRlSwyRL+JZLtILr+Tlgh13nVAu11xHMn9694PLShoDNCx5lSDcYVT+DhXQ1NV5LyL3U9TWnJw6daobkgfMViaVa2hK5poYmitGYfHCz+1i4n4J43MJSxgXjc2oIqTTcziWmQOx86BCUk2DhDLqFRRWhW5fFF3ZUoWsr1AHS14lyONyqfwdeXh4L6BpzCfzh/VTOBkkft51QLCMQf+vAe6sz3YO7CHNd3QXHQo9pGvCuTGoYxq6QVW3bdpp0ofzfubMfDmDciAtpu6XID6XsARJj82I+Vp1fZ2o6Z+Ms49qzmWuyZAaUnOuP077AwP0CSoxKFsuYrlgMQSdhlOsQVcuWLnc/UnzqmfChroqNYqBkZnn/fwdXt4L/tgX1k8hFygnBl/qJA/1Dn9Q0bDN3U7dZOfAUJqQ6qhaiHL8PC/XBI+/RkOOZ1F5bgG4I9NHorGBG7s3bvxA7igX47jRvqK7Fv1IrEz5ep2vRIVT+Xr7XLzIiy0X0J+C5Ij2RjE0t3dk/lJ4xKaqWTJAure/sYWtNMavbKmQYwjSYKfxpUfkcsHKZYaVy6u0rcsyIK8SNPV3QF8Q7b9QeC/8/BTQj8hPuCxLh1bk61t7e6G/gxcose+K/9G+jatnnIIKAgr52mTyKtrnAn1bPtGsTYG+jDCOEZ4GnY+Dp5d5EfL66/L73wq9sHy9zleiw8/n4kVemgL6UxAHVb4ujoUn2lvrN8L/3ACwIaJ+e5YtjcOXlYuDbrlgBjq22oXl8xqaP5wy8Re7fv3/HmKry4r8lqCHv0NG5b2Au52fnwK+lzvpq77A74pwQulI1dVtp/wCg54dTy+IVc94g3104RUX+AnYoqII45qAx5uaWnLyTOb9+WyREueOmj5vapETcR+tDZ0fsL2JzyUsQdNjE7p8Lfb/sUXMkTPzd6ouEJdsGa0hGVIq0ZiubInklYtPWqritRdeY6uUQLlsYOUy2/gpu1dl8ipBSKzj7+j6qXhX171fJHsvivFTwAgWfWVkzYLvs0VK6Ih0Kr4EwshDk3vwyMVb2SraBN+fIrf7XURTwrgmnBG32I1yH4nOi+Db/6ohqPvF1OcSlrAumkpHl695d8urg+Nt8Jk/bfj6T7IV5Mza9O/EwS4vhWgQ3LJ102efY4uU0HIRS7/tlgup1agql79i5TJbH5RdUIfL2L8udKie9JCubZt25szU8G5T/RL2wQUqTXgt5dnOrj07ajYdnU8vRpvGT9FLRo6vjNfNI4UjXqzyImSgunvjQO6E1ra8suGuj5Mvdu59Efr7nIW596wuTs/eEzuTLyTE97DgPaaI+qb4o8bAtjMFlZoI7RvbTdy+FHjVpKm6Ku9RlnkR9gy4x6HezhSnP6eb+kqaFtf47gOuFfhcUqzf0hT52OARWPVIFzQ9NuCVr+G1Mrgem7Z17XTPr5B389/DTBP6ffa9RXe1/Gi4s29PIkWcCoUuX3BnNsPSjzK6fSnLlsG7fLRc3Bp/MlsublJ5RKC1mi2X27Pl8gtsCT02srvrf5PFSbagfMBQWhhKq+Kw/ZrKL0sjarQvSyMIgtgEVoIIglgNVoIIglgNOkYQBLGWRnSMYCd6JYIDIzgwYgIOjCAIgmTBShBBEKvBShBBEKvBShBBEKvRVoIQDIG6DxI976vmg8pzYTnjBw9+S5wjDPMRSxldxE1nMTHVJhDmXUDHiEV4XXO//Kubtx+GKPdlAjvuye0YgbmtK8lO4sTJy83Z5ZExwFUhziPlyyGUN49kC/MWRfeFjBtlI8914fzW3HOvXwOBUnNzGxlsDiW4FXSOBralL/JIoq9LgaWVz6HNn5fpoJpfm/suOkZKTbmMDotliS3KkitH0EAI6hjxKi98zr48Ohx4X4r5w+71rkDHSEEABdcxsn7Zl5xoFqtIR0d8Gpys3v75HX5hrsKirLyqm95dm2y6in0SCnHdrmvfebX+WcHRQBav/TUN/PDaoUfiNyx71SsShx/gUiCH998yuLj+JjGmX84xMrQ3w5YBYuGnGRsCSN5W+7SYBtExQjPrg8nlTbBCmPResB+I4NvU2sczt996Gdcx0nD/Pjk2IY8lB2nghRUCo4rXAOLle1VsQdNjGxC0Ahwjq9hnCKgAN3UIJDK3evCU6BiR8++H3AuS2bqra4SsYLtwCXKzdx0jRe7Ls1xQx4hTLthx1/HjBsdIpnPkOXCM1F1RfiH48x6HoTCoHCPFBG6MEi6GgTBafo4Gtigc6BgJjEl6kBxhHSNhiGxfNjhGwF9whsQ+VsW4M406HRbq3qDRptV9kIAYNy20o8EEdIwEIkh6bCYSxwjDpLyYIu5r/+k/0rD5SmxwjKjuTqVGDvG9vpk8NtCZHJIHU5zYbLFbgli2igEdIw5imtAxEp6obhSm5cUE1b72PvWT1I4jF1eyTQpAx0iRQL+RW6AkvwjHCdtPfiaHaocmdzq+9JCqEioF0K+BjhEpTegYCQXkn2gdIzl05SUM7r6Oja5miwpg5cJOx4jjP2hMXzdr6ijcQWZcTU7JLg/oy8iMkTnsYwE6v4gfTpObLBFPtqr/z8jREAB0jJgRND02wQfzInOMlAGWOEbyWyiqvi6VU4I2jUmccF8wZICzp0mgQs5DkosVHt1vbctJsRIK62gIAjpGzEHHiJqoHSMyqvISFravb/rtywrHSNt4YkFfZ3JogC0D5GH0qnmr+tc39zzWlbcde7+PnCA7Er2/cd6Pyi57oLqPbVAAnCD5XUB4zOK/Ba1AMNjFmu94SswcUGF7ORqigI+Ko2MEHSNh4BVUlI6RQi9IfnlREeW+AFoubkXHSMVQLi/WItFh+zWVX5ZG1PDzlN8niCAIYhlYCSIIYjVYCSIIYjXoGEEQxFoa0TGCneiVCA6M4MCICTgwgiAIkgUrQQRBrAYrQQRBrAYrQQRBrCZ0JSg7LeTPMBdysKfn+WLmksKUOZ1/gfkLPplIZ0IU8HSjY8QevK65Vx4H6HcVeTxMPtLtC6b39SQS70ddllgaJ59jxM9NwZfBdrLTosBxcbplNvcZwDIR1ZxhCptXqfOHtNb9JkW9DfG2A8xfcACCNoiOhSDII4nuPEt0jKBjpEiggnPyZ3SOEb99wid5dFi3LzFPwvf/3J/s6EvFbl++7r5mOQCqe70r0DGibAm6boqQLQu4uF4VIMDj6vHQWh0dD01rqSWvQFQK8IeI/gUI6rC+OfZDCFb67tTGD8DbABcCggK0bmhZHXUMRHApqKIx5xwjZC9bRIELz48D0kkDSEp3ddEx0jClepQGs9TE53P3I0S2BvzWy3hdRzGgJo33RsgJKIDO/nOxDMXfhD9xcn3Q9NgG5E+aV9k5ogF1SepKCNQLjQBdHoe843pBssvY7ihe+2SbFKDbF9dV8AoUgv6CjuHo8fNfY5vk4VkuqGPEKRcsjXVCGV1zHcn8CRwj9AtlhrISLMZNAU3grt0z17U/sKhdVwGqmDB/iAnoGAmMSXqQHGXjGJFC/M+ojr2hjQJthWNEIJSb4uyhm7duO7O5ZUPr6qCPpmH8IfyRmjTf0R1pxGl0jAQiSHpsJkrHCEfcJ1sUjCANCxscIyJOoQ3mpkgfPnx3mqTnBY2WDCcqiD8EtoeOXOYvqFY9fhYLOkYcxDShYyQ8pbhRFLtPJwZk6mRvMvkOv8ZwE2erlVS8Y0QmqJsC+ohov8a2nU+KfUN+bpGg/hCxP5E7PXbtG3uYrY4E6MtAx4iUJnSMhALyT9SOkSj2KYuW4I/2G14945QcLZrDykUFO0Yk4ECCuikcWUvqQO/W13t5q8HLLeI0p8P7Q3hlJftOoiDPpYCOES1B02MTdOQURmAjdIzo9hkFZ8fTCyAMPvuoJK9cVJpjREUYN0V9a/tG09ZZUH8IjBzL/gIIYe534cKAjhFz0DGiphSOEd0+i4W+1ZGKL1l202efY4uUVLxjRAZq8aBuCvgOvLrybGfXnh01m47qRqagFRjUH3Lx4vlrM53JFxLie1KCmyFK0DFSeGzwCKx6/ELHSCH8Bh21Y8Rrn6oK1Gtf+Y6R+AmTd/nQMVJhlMuLtUh02H5N5ZelETWeL0sjCILYAlaCCIJYDVaCCIJYDTpGEASxlkZ0jGAneiWCAyM4MGICDowgCIJkwUoQQRCrwUoQQRCrwUoQQRCrCVUJwnQ36kVI9LzvNVeUhtPpGXw+SJgr7k5QuhD47xrE4ytX+PGhY8QevK65X56m39W4P7zWqQi6fbGw4568jhH2kcK9B3DBuN8Alq0kO4kTQy/fcQC4kS4EHwdbpcTdt8YdovMxtFYfOuXlKvGbjC6PJPq6FKRjUp0v1fHmvouOkVJTLqPDYnlhi7IU5xiBPXitA+TRYd32ectd1POH3eutKxeT2DGiDKCgy8yj/b0dEPElexK/5Jz0VaSjIz4NTmRv//wO8eRwp8aKFZnNu948vuLUbbVPixdKBib4gzthFfsMARjOdA7/HNwhc8ngNaKPgSxe++v1pId0vXbokXj2gq5NNl3FviYUdLOoLyrApUAO779lcHH9TWJMv5xjZGhvhi0DxPNFMzYEkJSOV3SM0JvFg8nlTbDiD3+g64GC/UAE36bWPn5z8Vsv4zpGGu7fJ8cm5LHkIA28sEJgVDHYBcTL1+UFIGh6bEPO0/BkBDfskeMr43OrB09p8/QNy179kHtBMlt3dY2QFWwXFNcZolinwm97XvGyj1o8ywV1jDjlgh13nVCW12Q6R54Dx0jdFeUXgt/4cRgKCo37J4WO55FWSOroEjFYKo2NFm946yv1jdtiY8Oxt9+5UM9WBSaIc0R0lbBFwUHHSGBM0oPkKMYxEtQ/EpmvxDbHSAHnMtecIbGPVfHvHDdCzvgGrTEeiZnH5JNPnBf8jsndIUF8DKKrhC0KDjpGAhEkPTZTCsdIFNA8SaO+97y///Qfadh8JTY5RlReCdWdSwd/9IOLzVuKJh4QOpBShDsEvh/EVeIFOkYcVHmBrQqVHlspxxsF7xLhUd/XN5PH9j71k9SOIxdXsk0KsMYxAn09bjh85pWQW3te0EdhMnQzF7jQymFs4OvcuwH9R27BEpwjUGCLcYcEdZV4Af0a6BhR5wW2KnR6bAPyT9SOkVLgqDHIz1LHRlezRQWwcmGPYySP6TXvzSTpy1SPtY4boTF93aypo3DHg2jRbFUe3EHh5Rzh8EoIvASq/j/Zx+A0y/NdJcWCjhEzgqbHJvhAXZSOkUuNdY4RDhxIU3PsKbn1IveDOe4MeLUlMStX0SWroOUjD56IQPNZ5w4x8TGoXCXFgo4Rc9AxoqYUjpFSwcrcN/0aElY4Rmhfj8IrQZvL44kFfZ3JoQG2DhCH2J2BibaCgQnnovcSeD2gbh4pHKlyvAQad0gN8fIx8Nan7CopFt6fiY4RdIyEgd/Io3SMwPc+3L5xi26dKv/r9lXoGHGur99IMi0Xt6JjpGIolxdrkeiw/ZrKL0sjavh5Mu8TRBAEqUCwEkQQxGqwEkQQxGrQMYIgiLU0omMEO9ErERwYwYERE3BgBEEQJAtWggiCWA1WggiCWA1WggiCWE3JKkGIFGMaVUTnPmCOgrLxjcjzfznjBw9+S5wTzdOt84i4afdxtCCVgVd+8MvHurIRFK+yxIHpdVFGAmK/WfaOkYJKEE4EPVnuX66g8nXixYSJ34PPJPbKF/jseHqBXyQV/l0aauv02dk8E/CMsenI/DU0DE+qb4kYcgsq2GTy1TdrNiRWr79+eBfE5ovq4umOH9J6bCT1bTmKjrN890MQdzB3POTJexIb5jWOdK0QMzc/Lh5/b9O9M7870JkcEo8NqRzcfMzmazvxF83ysbZsjDsxN/PzaPZPU4n6lSUOpAXmF9NYmIq4f265UFSiNK09iT2wHuoB9pvH2W/Ozv7mYkLix3kg1nJD2RLMiyEnxbVzvRURtGBc90Fz7IdsEQUm+4ObAUIPwf/BN8JjGUImEN0MENQBvq8LZBoGr+P3QvSINEypHqUBK4UYfK6jpaNjGkxSr5q3qr+j46FpLbWpk739ox10J0jF4OZjlpdoQF2SuhJumH75WFs2WDxKvk8n/5BXdNFnvMoS24RWrC/trrm7vT3+IFukBBwjqijlOccI2Quf2W/WCb+55jqS+RM4RugXyozAj8NReivCuA+C+EYuDWqPCNwdgzhakMqmGMeISBROHe4I+cJFn6jx1jtGBCbCW8GBu1RY38hE4wYXVXlEAjhakMqkFI6RIE4duSzBMui36zvdMnvFbbVP0428sNYxoug/cAp7eG+FCXDyivGNFIPf8Xuh84gEcbQglQdUFlE7RqCMmDh1dGUJ+vIOvZZ6RCUG02GnY0QT/j6It0LnFPFC7Pvg3o4gvpFiMDl+L3jaRY8ItvbsBSqbUjhGTJ06urI0tm/XwxD2P0iXFPTx2esYkYCDNPVWmDhFvGAn3tg3Ugqg727G1eQUpIEtokA6MmNkDvuYR55HxNDRwhYhFQJUFKVwjLh9zAGdOmJZgjc4SKrvPt5A4UK07sf7TnqpN611jKjQeSvgwp89TQILhDjQlC7GN1IqVB4N+jhA4gT6ebw8IpARTBwtbDFSIZTKMWLq1PEqS9B1k2ucMA8QhOl/tG2OV/+dFY4RU6Bgi94KuDv1J3sPpKgnJH6i/QHvESt490jpPnhg+vfC+kZKCbzSsr6557GuPMdK9jgTrUugdXvRxyNi4mhBKgde4UTtGLn2wvA0Y6eOp7snHOgYqTAwlFblgaG0MJSWCRhKC0EQJAtWggiCWA1WggiCWA06RhAEsRZ0jGTBgZHKAwdGcGDEBBwYQRAEyYKVIIIgVoOVIIIgVoOVIIIgVnNJKsEg/pEwwHQlGoJ8Av0jpnDXg8o3UQwXjwzeOhHxHZHgeF1zmGoK4e9L7RgBotyXCey4y94xUjA67M5ZhPmFQtQLwI2IMUa+DuGmICxQ0O1hOXxnf/X6N3RhhaASg+CPEPuMLXKAecVr5/3NsZ7Of4F9sqVZcvN3nfTEl8DnLxzvj0NkDK+5ufJIYujjFxCPlZP7bnzOPYnFLee2dv4jnVi/ftmdMP/Tbz8m68VzyrcXt+FpGL5+/a7v3/bHp/mxwLp8YuMQ9n3GweQj8m/yc2l63JeCchkdzp9Lz8nlVWgMdO0mP4ZzXXfk2dtoIA12fsW8xucMQz7JW+6S2yd8kkeHA+/r0eVL6664Ii9KtHu9deViS/eLA2myHPLA/U3n+7LHvT8VbzuYaP3URvp/Eq9S7fdSws+TMoACuATI4f23DC6uv0mMVcYdGgsXDu3NsGVA0O39cGKRNV3FPgqFt27XrMs/+vBYdpmqYoNMdyQV+2LLhtbVNEPMW9XfFk/9rO/IsTWr5s03DlAQ+PiFwk8zNgSQvK32aXFyu+gfoWl7MLm8CVb84Q90PVCwH4jg29TaxzO333oZ1wfTcP8+OeYcTIIHBwqkgRdWkD+J5/Ro9s+rYguaHtuAACPg91jFPvOb+8jxlfG51YOnRMcIWbz21+tJD+l67dAj8RuWvfohd4xktu7qGiEr2C5cggTdcH0lRe7Ls1xQx4hTLthx1/HjBsdIpnPkOXCM1F1RfiH41Y/DQV0CJXYPBPEoVJF0NU8HVJ4Q0gtC+NCVppTseNT+ERU03pwHfuuBKH0wfpikB8kRlWPEhMj2ZZVjRHQJsCjQvJWldAkE3T4gKo8C9XjQYJA5JSgP7UXD4/f0HN2ysfu3EMxS15LREvJ4oA9EFxsQWrda/4gClYOCA2kxDdU+ET6YIOmxmSgdI6r8HxZxX17BVK1yjAA86CNvuUAQx6H40rfkxypO0O1NcWKy5TwK/DGOB4Jc30weA3cvH2i5/Ib4q6AgJOn0vII+xQAEOR7uJOF+WZ3+U+cf4YhuE9pXdNeiH4mVKV/PvcUmlbtT+Yb3weT5VqTKO0x6bCWqG4Vf/g+Cal97n/pJaseRiyvZJgWwclH5jhEAWlUQhtt1CYykV3iF8g66PQf6ktxCpvCP+HkUaKDSOPkZ/C5ktO0bu/8T+j/golIn6+m+2WFGxIIcD/SN8YzEHQ6pNz9SuleYeyHPP8JW5e1H5Tvm66EiPbNt0z+ZZvwgPhiZvDQJDmUgbHpsA/JPKRwjgJj/2aLQuPs6NrqaLSqAlQt7HCN5LgHSQvxCeQfdHvDyjzhNbXOPAg1nL4QcpxFws833sE7fMMcDjzc1teTkmcz789kiJc4dlflHAuI+WhtmfNje1AcThqDpsQmoKOgIbMSOkUtJXrmodMcIdQnUptOuS0Dq55Ix2R4yhal/xMSj4Dwuk9vdinJs+Ma337lQT/+fxatvzY+gxw84gzixG+U+Ei//CFsUCJXvxAudDyYqgqbHFkrlGOEU5P8iYPv6pt++rHKM8JbUwLYzBYVahef2n/rNtTsSXb8x9Y9AK1DlUYATKr9DCI9lzujXKtIWT7yc7/CAd94WfSNIxuKYHj/tG+OeiCzwygH3inCm+/hHguL0fXb/B4zUNS2u8d0H3I1FH4wp8rHBuVY90gVNjw3wCipKx8iGuz5Ovti590V1/lcT5b4AWi5uRcdIxVAuL9Yi0WH7NZVflkbU8PPk+TiMIAhS6WAliCCI1WAliCCI1aBjBEEQa2lExwh2olciODCCAyMm4MAIgiBIFqwEEQSxGqwEEQSxGqwEEQSxmoJKMCpXhTxXljN+8OC3wgQz4MBUJOoPmUBXQpR4+SaKAR0j5YvXNYfpoZXkGGHHWvZeERGlY0Tl//B1DDBXAcw95P4KcFmI++HbQagr1fxE1bxgCsxzdN0i8TkQov7P/cmOvlTsdghPvoi8TnTf4z4FtqQAeSQxyHHCseXPy3RQza/NfRcdI6WmXEaHoYKbzI4R9xpXkFdEhJ8nzwAKMlG7RGScGGRqt8iM0YNf5hUgvdirkt9pI9mCTyfsN23WfS9M4AR0jDigY6Q4IGjFZHeMVKpXRCRYn+AEOwYK3CJSSKwZ1bE3aMRa6TEiiJNECTpGAoOOkWBMGsdIhXpFRIJVgiV2icgUuEWkIJQ6VE6SQKBjJBBB0mMzk9IxUqFeEZHAo8OlconIOLHYcm4RJ15d6mRvMvmOc8HAw5F249xx5O+FBR0jDmKa0DESnqhuFLwbg0djnwjHSCV6RUQCV4LMMRDYJSIDfUhu4TJwi8gXzLlosR+Sq2ecEisKPyeJKUGOE/rGeJrQMYLIQP6ZzI4RVhYqyisiErgSBPzcG1BhzbianAKnAFtEgUfZzBiZA/+Pwi1ydjy9QHQKm37PFHSMmBE0PTbBB+kmu2Ok0rwiIqEqQRP3hso5QZvRJE6gT4QtUmLiFoGWZF8qvkQc/DD5XhDQMWIOOkbUVIpjpNK8IiLKV2RoX4/rlWDvjDkfKNDS83NvVM1b1b++ueexrjzfR/77TCqgNWfmFsnfl+57xWBynED++XJeOUDHCMIrqEpwjNCycGvleEVEMJQWhtKqOGy/pvLL0ogafp5CPQ4jCIJUClgJIghiNVgJIghiNegYQRDEWhrRMYKd6JUIDozgwIgJODCCIAiSBStBBEGsBitBBEGsBitBBEGsRlsJwjQ06j6QnASyywLmPA729DwvzxmFKUM9PYPP+8XNE/FyMQA6R4Lf98qJUqUVHSPli9c1d8tZhThGRNhxl71vpGB0GC5KoRchN2cU5iEWuCxOt8wWXR5u5IyxnIsDlutQ/2ZubrC4P9GR4Pc9tsATeSTR16sgHVf+vEwH1THnvouOkVJTLqPDfvnTURKUr2OELaC417uCfCP8PBUEUBjt7+2ASCzZE/UlXqnpoJFcpAoQ4D6NFSsym3e9WejbkIHJ/ToXQ9080q9zJPh9jy0ODDpGHNAxUhxe+XOyOEZEKtU3kvc4DIWBxuNThIeXgaZu1+6Z69ofWNQub0vjosUb3vpKfeO22Nhw7O13LtSzVaGI0rdgBDpGAoOOkWBMGseISIX6RvIqQeMYd2cP3bx125nNLRtaV8t3fWga8yjMPB6ffNL8EF0MbJERYb9XADpGAhEkPTYzKR0jIhXqG1EMjMw8L96dVKQPH747TdLzVFGR+WMfXGgej09lhNMRtkBFXRDRMeIgpgkdI+GJKn/ybgwelX0iHCMilegbyasEnTvRmY8z58g1bJES6AsCv0dq284nZTcIfRQmQzdzIRKtGMYGvs6dG9B35BYqyS0CrcgwLoaw3/MC+jXQMSKlCR0joShF/uRMhGNEhJWLivKN5LcEp9e8N5OkLzN5fHVOWOpA79bXe3nrAO52EN2ZbiDBL5LOLQInlI5USS4GP8J+zwR0jJgRND02ocufk80xIlJpvpG8ShAS29Qcewoec8S7uu79ovrW9o3Q6tm1b+xh+Oz0KcZJeyIxK1fRJaug1UNSR5fIrUYRnYvBj7DfMwEdI+agY0RNpThGRCrNN1Lwigy01OhQ/bZNO3OjC/AeUv0S9sEFKs3WDS2rn+3s2rOjZtPR+VR63lYgPXcueC/RvbrCL6TOxfDh9o1bcu+k5TsSvL4XJDOp4H2a6BhBx0gY/PL1ZHKMiNBycWvl+EYwlBaG0qo4bL+m8svSiBp+nhSjwwiCIPaAlSCCIFaDlSCCIFaDjhEEQaylER0j2IleieDACA6MmIADIwiCIFmwEkQQxGqwEkQQxGqwEkQQxGoKKkHZVVEqdwXzD3wS1HkAU5F6Eon3TWLylSv0GAL6V0yBOaiDzyT2wrnVeUwg0AX1WkQQiw7xh+f1UjhGYEqcSfQek/Jmui9T2G+WvWOkoBIcPTbwgBhFRv7MgRMmX1heAHWFD+AXfdOR+WtoiJ1U3xIeUsut4OBiiX8sg8BvJjszLyxLJG7Y9NXMExCTL+rwTfy4VJlFVcG42wt/XscP+3j9lwP/kE4PfIsHngDEfRf+OZWV6rf48fPvb9zY/QFM2N+QuGfezN1d68Rt+Lnn8f823TvzuxCLTg5phkSDm9fZfG0n/mLuXENYuWTy1TdrNiRWr79+eJeYn/n1pN89fXa2qoKE78OcYF38SsCrvLFNKHn7UsT98y0XPYk9sB7yPvvN4+w3Z2d/czEh8eM8EGu5UdTjsOuwCNCagIn84F2AsEI8AAOPYchj7fHoMx0dD01rqSWvQKSKay8MT4PIzjyaddW8Vf1RxVGTAZeCKhpzzjFC9rJFFDHmHsRZ9Aoiy/exYkVss7idGOCSZlZCTkCABWe/udiC4m/BH5/s7kYr6eiYBnH/qqc0jNLzLGzj+mOy28AyOIfOOU6d7O0f7YBtkOhw8zq7VjSgLkldCYF64YYvOkZo4BKI0ckqNNcLkl3GdpeH8/2au9vb4w+yRUq8yhvbxHhfnuWCOkaccsF+s074zTXXkcyfwDFCv1BmFFUJltph4YSlis9Z1lTdB5+rSLqat0rh7nP2NJkN4Xngc6SU0KUQtX8FgDuvnxtGtw2PlOMX6gyJlmIdIzwvfuGidxR4E4z3ZYNjJAzFOCzgDgT2LdJ8R7cqbP0xGpprPg3NBXcUCD1EHyl6eo5u2dj9WwhUWZKQ7iVwjABQcRfrX1HB4zh6ulXOZa45Q2Ifq+IXmkYUR4ojKscI5DOwPK64rfZptsgIVXkLtC97HCPBcKIKB3NYwImBvj/mH6hWPT7CNvtTsVtaFtc/wRaxmHXkFZJOzxNjoJWCUjhGivWvAPy36J9XZzrfJvsH/UyqlgcycUBlEYVjBG6kh15LPWJihOToyluYfVW8YyQsOoeFzici9v0x/4AbnZoDTex0fOkhfnIhE23f2P2f0E8C36N9Waf7ZnuNdhUDtDyjdoz4+VdMyOsTZM4PuSUHfX3uOYKbRhZs7V06IP9E5RgZ27frYXgC8gt8KqIrb6H25ZSLCnaMhAQOWOWw0PlERHhlA/4BtijXfyWcXPrIV9tykns+JqIvK0rHCByTn38lNCZuGI9tHLdFY/q6WVNH2SIkIqCiiNIxcnY8vYCk+u7jjQt+I+3euOW3Jl1SYnnT7uvxvpNe6s2KdowUg6nDAprJsn8AQpCLAxy0iS1UeC5jwzeKAwlebt4oiNIxUox/xQ/IZLy/VPd6Dmzj+GPyR/P9+jGR4ojaMQIDJgX5B8L1d3z/L1RdNV7lTbuvR9vmePXfVbxjRAXth3I9E7FxGNaf4Xxw4QXR12Hh+AdeSBAyly3JcyvwFlOs+Y6nxMzgvBKTeLmvMzk0wJY5aVn0jVIVXt7ajMIx4gzyBPevyMi/BY/H8IgF5yexoWYh+F7E9dnUnGinAyZVjiFwPLEg/xw66Q3ySISYwSucKB0jgd05PuUtDLRcoGOkcsBQWpUHhtLCUFomYCgtBEGQLFgJIghiNRheH0EQa4Hw+tgSRBDEanBgBAdGKg4cGMGBERNwYARBECQLVoIIglgNVoIIglgNVoIIgliNcSUI03jkUPYwxW3H1n/rHtyZ+IVunV+YKBr2qUSRYMoRHubKKwR/GErlgkGKx+ua03ISwjESJh/p9gXT+6jWIuJyyNJY9o4Rd3TYjXYxRr7O1gnExpubZz65ezf5bnuidQmf/0rnN5I2sqnh6PZN28iTqnVi5AyRvN8T5kTCBYHAjwXxArPbbFg772+O9XT+S34a4yfE3w2KPJLoztmE+ZVS2sU08zm7+XM8Hfg69pGS+258zj2JxS3ntnb+I51Yz47bbz8m6/dXr39D3l7chqdh+Pr1u75/2x+f9rredH74weQj8m/yecamx30pKJfRYajg+pO9B1LivF0hv0Koua7d5MdwruuOPHsbDWTBzq+2fPjsEz7Jo8O6fYl5Er7/5/5kR18qdvvydfc1ywEU3OutKxdbul8cSJPlkAfubzrfl03j/lS87WCi9VMb6f9JvKr90eVL6664omyiT/Pz5AZQgEnR4Lhoyv6fn2iQ8fCJ9XCgU0a6v/rqYFNbXTajO5PDY7e0bKj/9uWzPjfaUtt9UrUOvqvCdShktu7qGiEr2GIWh6zpKvZRKLh1u2Zd/tGHx7LLSj3hH1wK5PD+WwYX198kRubIOUaG9mbYMkAs/DRjQwDJ22qfFie68++6mZWd6+yJp+uBgv1ABN+m1j6euf3Wy7gOmIb798kRRvyuN3A0++dVsQVNj21AUBHwe6xin/kNHoJlzK0ePCU6Rsjitb9eT3pI12uHHonfsOzVD3Xlw2OfugAcurLG9RVunlyV/E4byd5Mj5//2tKrawqiyHiWC+oYccoFS2MdTyM4RjKdI8+BY6TuivILwW/8OMwjqvCQ82LQU6917OsF+DkUOLJnZEIomUthaC6PVO0HjTfngd96oNQOGBGT9CA5inWMBMFzX1IouhnVsTe0UaDRMcLD26dOjpw4cTs1vxWEvlevKwbRM8IWkdS2TTuhP6Rk3twSOEaghbs0Tl6maTdwJnvFSoS0mIZqL8YBY0qQ9NhMVI4REXGfbFEwpMCunqBjJNcaTPX2PiP7NrzWhcV9rGYVKn+E40Eg1zeTx8CbKw/KREEpHCNwR6baxbGBG8ExK3dq8/3AH+0rumvRj8TKlK/n3mDdY6qIU/kGc8CIiGmSK+8w6bGVUtwoit0nb7hw3QP8wU2crVaCjpEszkkgJ1ReAdU66CtyC1FAybffYzUNEloi9zD0a0TtGAGYe+EqiOIrR3kW9yO6hjl8PVSkZ7Zt+ifTyl/ngDEhL03MacJWhU6PbUD+icoxwolin3KjAv6o5/jqGafkaNEcVi7QMRIEE8+ICqeZne8ZmWiidIzIODeM9PnMeNVstsgY99HasPKH7VUOmKgImh6b4AN7UTlGAN0+owC8I34ub3SMTBBaz4iA87hMbi9VRRmlY2T84I61YqvPcY7ErlR5gE2Y1xDfTlL7bzft6zN1wIQlaHpsIWrHCKDbZ7HAU1tfKr5k2U2ffY4tUmKlY6QU5L9nlu9QuPbC8DSVZwROpvwOITySlep1Gd7PGYVjZHpDTWq4M7lnQEi7ajtTnP6c7v+AkbqmxTW++4C7sZEDRkI+NjjfqsevoOmxAX6TjtIxsuGuj5Ne+1RVoF77erFz74u58hQ/YfIuHy0Xt6JjpGIolxdrkeiw/ZrKL0sjavh5KtvHYQRBkIkAK0EEQawGHSMIglhL9nF4CvYJYp9gxYF9gtgnaAL2CSIIgmTBShBBEKvBShBBEKvBShBBEKspuhKMMqy7V8hwvk4XAlwXOrzc8DrGYsDw+uWL1zWHOfKXOrx+qWBpnDzh9dln/zDaLEw3nz4F24th3Tn5U3UcdBGhISPoQobPJScIXRdvO8BCdWe3ixMeDVdMk9fUIR3ySGKY45ePUzW1LPddDK9faspldNgrX0PedaJxl0N4fTEPqKfOude7ksPriwQNL6/DtFCwcNyakOF1/eK61g0tq890Dv88c45cU1dN3tWFDi8GDK/vgOH1i8MrX5dDeH2OrnEiY1d4/UkURjvKMOQuGF4/MBhePxhlE14/CFaF1w8ZXj4qdCHD+V2PNN/RLbdsIgXD6wciSHpspizD62cRdRX7T/+RRoxWYlt4fR7vzCS8vA6v0Ow6VAUKTiR4UVmo7moaqttgX8UQ5Pj5cWJ4ff/02EopbhTF7lOlq9j71E9SO45cXMk2KYCVCzvC68NzvWl4eR3QZ+RGlWah2aHvyC1UUrh9+B1VyHAoyBCSHvbDw9fv2jf2MFtdEoIcv3icGF4fkdHl62IoxT5dXcWx0dVsUQGsXNgTXj9MeHk/dOH24YTSkSqfkOG8coJQ3WxRycDw+mYETY9N6PJ1uYbXN8Gq8PphwsuHRRcyHJrVcqhuiKzr50GIAgyvbw6G11czmcLrs7L1Tb8nPqvC64cLL8/eMStY7jw+qZruvGJThQzf8MD072U6ky8kxPeiDMKQB31fUAWG1ze/hhhevxCvfA35s/zC6zvX128kGcPrVxjl8mItEh22X1P5ZWlEDT9Pno/DCIIglQ5WggiCWA1WggiCWA06RhAEsZZGdIxgJ3olggMjODBiAg6MIAiCZMFKEEEQq8FKEEEQq8FKEEEQqwlUCao8FjAlR44eAiF+dmz9t26vcFdejgS+bjI4Q4LiddzFgI6R8sXrmtOyEsIxArjlxDBMnW5fML0PQtVFXd5Y+iaxY8TFmQsMYZ1gnewTgQPdtI08KToO6D5IG1FFuICLrnMkePlE5p57/RoIqCrOc6QUOU9YHkl0jx8dI+gYKRKvvA5lxVESBHOMwB7c/da2nITln9635eGXyB2En3t5dFi3LzFPQpr+3J/s6EvFbl++7r5mOQCqe70r0DGibAnCgeTCXRXGtRNxJs6nTvJoGM6k8dgtLYvrn6AbSMBEfnAk8P3TIKMkdSUEL3XXZU8y/B98IjFy5mPwifA4fPx7HR0PTWupJa+UIroNuBRU0ZhzjhGyly2iiOdrfXPsh6qgr6JjpGFK9SgNZqmJz+fuR4hsDfitl3EdI4oWohhQk8Z7I+QEFEBn/7lrnp8XklXi5Pqg6bENr7wO5UR0jECIOTiHPCCv6wXJLmO7cxnt7+2AhgLPP/Bdr5uPbl9OxCOnAoRKGYL+go7h6PHzX2Ob5OFZLqhjxCkX7LjrhHK85jqS+RM4RugXyoyi+wR5pBVeAMA3kI4vPeRVcUYBv4DLmqr72KLoQMdIYNAxEoywjhFoBYLmQdfIUOHpGJFC/M+ojr2hjQJtlWMkILw1OHLixO1BL1BYn8ixI6k1JD7/QJiw4r6gYyQQQdJjM5E4Rs5lrsmQGlJzrj9O+wMD9AkqkQK7emKTY4S7I5y//BD4KnhrMNXb+0wQD4mq8PBOWi+fiN8jdxSgY8QhLy+gYyQ00d4ohub2jsxfCo/YtFuIDJDu7W9sYSuN4Y2X3mTyHX6N4SbOViuxxjGS3w+UC4HvhXNyyAkxKm2pfCIT8cgNfRnoGJHShI6RUOjyengWnmhvrd8I/+MNEJI6uiRof6zYL8z/aL/h1TNOydGiOaxc2OMYKZZS+ESc5jdZ4hcCPArQMWJG0PTYhC6vh3aMTK95r4ZkCAwWsiWRcnY8vcBPXWGVY6RUFOMToc3v2paTUUif/EDHiDnoGFETtWMEKsiZtenfiYNdUfWPw5NbXyq+ZNlNn32OLVJilWNEBe0HknwiQR5LecUWxicCrcDB3el1seY7njKpkIqFP2qgYwQdI2Hwyuvwrl4Yxwh8b9FdLT8a7uzbk0gRp0Khyxfcmc2w9KOMbl+FjpH4CZN3+Wi5uBUdIxVDubxYi0SH7ddUflkaUeP5sjSCIIgtYCWIIIjVYCWIIIjVoGMEQRBraUTHCHaiVyI4MIIDIybgwAiCIEgWrAQRBLEarAQRBLEarAQRBLEabSUIU9So+0DyDsguC5jzONjT87w8ZxSmDPX0DD4fJM4ZdyYoXQywP40Hwet75Uap0oqOkfLFM1/zcoaOkUtGwegwXJRCL0JuzijMQyxwWZxumS06ENzIGYKLA5brUP+m42JonPruByoPAsxZXjT9xHu675lOJpdHEn1dCtJx5c/LdFAdc+676BgpNeUyOuyVryF/omPk0qIdHab+Aji5HR3TcmGwklWqzE2jTkgVIMB9GitWxDargqLKwOR+nYtB50GAifpe32O7DgU6RtAxEgVe+RNaX+gYKQ/yKkG4w9BYfYrw8DLQ1O3aPXNd+wOL2uVtaVy0eMNbX6lv3BYbG469/c6FerYqHDoPgsEjQCjQMRIYdIwEAx0j5UNeJWgc4+7soZu3bjuzuWVD62r5sROaxjwKM4/HJ580Pwq8I4YeBJ2vJDDoGAlEkPTYDDpGJo1jZOZ58e6kIn348N1pkp6niorMH/vgQvN4fEFabXKBMvUgRF0Q0THiIKYJHSPhiTZ/omMkSvIqQedO5Hh+2SIl0BdE+y+27XxS7gOij8Jk6GZ+YmnFMDbwde7cCOod8fQgsApC9b1igb4MdIxIaULHSCiiz5/oGImS/Jbg9Jr3ZpL0ZSaPr9AZ2xZPHejd+novbx3A3Q4iP9MNJLh/oljvCCB6EIJ8LyjoGDEjaHpsQpc/0TFSPuRVgpDYpubYU/CYI97Vde8X1be2bxRtcE6fYpy0JxKzchVdsgpaPX53Kp2LQcb1IDDpuun3woCOEXPQMaIGHSPO50nlGKFD9aSHdG3btDM3ugDvNtUvYR9c2PD36mc7u/bsqNl0dD69GG0FF8O54L1k5PjKeN08UjjilT1JWu+IyoPAhvS9vie/thMG/qiBjhF0jITBL3+iY6Q8wFBaGEqr4rD9msovSyNqtC9LIwiC2ARWggiCWA1WggiCWA06RhAEsZZGdIxgJ3olggMjODBiAg6MIAiCZMFKEEEQq8FKEEEQq8FKEEEQq9FWghAMoZwcI4BuDjPgta6c8DvGsKBjpHzxuuZuOQvhGAmCX74rRflhv4mOEd1cUxH1b+bmCIv7k+cFe60zQR5J9HUpSMeVPy/TQXXMue+iY6TUlMvosF++DuMYyVvuktsnfBJHhwOXrXu/9FeqMFru9a5Ax0hBAAXXMbJ+2Zf8KhN/x0hm8643j684dVvt0177gsn94GJYxT5DK/LZzoE9POCC60jIbN3VNUJWsM0oXuvCAi4Fcnj/LYOL628SY/rlHCNDezNsGSAWfpqxIYCkdMyiY4Rm1geTy5tghTDpvWA/EMG3qbWPZ26/9TKuY6Th/n1ybEIeSw7SwAsKBEYVw7BDvHyvii1oemzDK1/PrR48JTpGyOK1v6aBS1479Ej8hmWvfuiTr3llyT5qKaZsyXiWC+oYccoF+806/pvgGMl0jjwHjpG6K8ovBH/e4zAUhnJ0jHg5Ejz9CWFBx0hg0DESjLCOkagJ9DvoGBGYaMfIRIOOkUAESY/NROIYYdB8RKOz97wf5NoWVbbQMZJjIh0jbPGEg44RBzFN6BgJT1T5Wg6Jv76ZPDbQmRwyURtEkQZ0jDCgL2iiHCOXCujXQMeIlCZ0jISilPna0VyQn/mpDaJKAysX6BgBLqVjZKJAx4gZQdNjE7p8HdoxEoKoyxY6RgQuhWNkIkHHiDnoGFETtWNEBh47IYS/7ikFiLpsoWNEACrNUjtG4PWbD7dv3JJ7Jy3ft+C1LkhmUoGOkcJjg0dg1eMUOkYK8cvXYRwjhV4Q55roRngDl63HB35H12neFwTQMVJhlMuLtUh02H5NxZel2SJEAT9PitFhBEEQe8BKEEEQq8FKEEEQq0HHCIIg1tKIjhHsRK9EcGAEB0ZMwIERBEGQLFgJIghiNVgJIghiNVgJIghiNdpKEOYyDj6T2AvRXqLyYcAUnqDeEfqdROJ91dxlo3UGsfsmEuZdQMeIRXhdcwg6EtYxwvdrmsd996VZFxaWvsnnGHEjTjDnwIYHpn/vYPK5AXAUFPglDD0cXst15LaPz4GQ9H/uT3b0pWK3QzjyZbPeHdWtg/BTTvriS2DdF473xyGcly4cuTySGPTY8ud4OqiOTzwedIyUlnIZHYYKLmrHCOzB3a+jwbjz0/u2PPwSuYPwcy+PDnvtq2CdhY6RgpagG3Gio2MaxI+rntIwCo4CiAYjViLgG1BFLM55OMhetojCl69YEdtsEmTVicbiVHKQYSAgKYSKhwn6Xusgg0AEaB71umreqn6TeGsiQY8NLjyPmANxFlXHx78LaW6YUj1KA2Nq4vO5+xEiWwN+62Vcx4iihSgG56Tx3gg5AQXQ2X8ulqH4m/CXlwcCpsc2IGgFLzvwRwPqktSVEKgXnlRExwgNXAIxOllAXtf9kV3GdudCPUDxtgM8/8B3vW4+XvvyWifjWS6oY8QpF+y466CyZEFW1lxHMn8Cxwj9QpmRVwlCBWLqGAnqGwjlHZHCj8+ojr0BFcxZMuVzunXnyMefqyLpap4uuEudPU1mQxgfuqEJ6BgJDDpGghHWMeLe5BfXP8EW+eLlEfFaV4A9jpE4MfIPBPBwQEUUyjsiBZ3MQ7Puo6lfoiGjaAionp6jWzZ2/xaCSQZ6TEPHSCCCpMdmInGMnMtckyE1pOZcf5z2BwboEywaexwjOdyOV/Ynh0839XDwR8Eg3hEnPl3qJA/TD39QwdCV9U36dVmc75JXSDo9T4y7FgTTYwO4awMdI5e+P7BcifZGMTS3d2T+UnjE7uh4aFoLGSDd29/YwlaWFFYu7HGMQH+ae6KhUpGA530TD0cY74gslIE/2m9x9YxT1VXV7+nWXXtheNr2jd3/Cf0csJym/XTf7KAjX6bHBoh9Y+gYQWQg/0TrGFl4or21fiP8jzcq/CK3RwUrF+gYEfHzcMAdMKx3RObseHqBrm+Pr6OP9LUtJ3k6iskk6BgxI2h6bAIqCjr6GpVjJFtGa0iG+MnQSknFO0Z4f5rpe2x+Ho5ivCMi0FqE116WNVX3sUUuBevGhm8UB168+te8QMeIOegYUaPze/DulqCOEcjDM2vTvxMHu45RrcX8Aq1Fqah4xwg8Aic21CwEb4jolqDvN9EBk/yKnLe0dB4O5wKF84482zmwJ9enl3u/ymsdoa/EJF7u60wODTgrs8B7b4u+YVKJifgdG4f2jaFjBB0jEpBPo3aMwPcW3dXyo+HOvj2JFHEqFLp8wZ3ZDEs/ynjtCx0j2RoNQ2lhKK1Kw/ZrKr8sjajRviyNIAhiE1gJIghiNVgJIghiNegYQRDEWhrRMYKd6JUIDozgwIgJODCCIAiSBStBBEGsBitBBEGsBitBBEGspqASnEhXBUwr0jlC3DBeinXu9yYqjlqE8ONCx4g9eF1zCDBSlGPEMDqScRoiDHfFfnPyOUZgnqHoqgDgYHisPBE+jzSob8KNrKFwhCyafuI96k+Itx1gfoIDTgAGZ26w81tm/hAT5JFE91jQMYKOkSKBysXJv9E6RrzWAeLocKg03JNYtaphSl55d6+3DY4RFTyuIP9zfATxE2JEFzh4cb2Xb8LLEQIT/amXIecnWM1jHMIFLdYfYgI6RtAxEgVuXmbnKCrHSBAvSKg07H/9B6oWoRWOEROcE5f+cfzelT+AiogtzsPIN6FxhPg93hbtDzEBHSOBMbrmiEtYxwgQyAvigWcaCCl8LLbBMWICHHA63vay7iJAa80ojLiXP4QBFS6EzCLNd3TDnQruKkX7Q0xAx0gggqTHZiJxjBRJUWmw0TEiA4Wc9sex0N4iQXwTnv6QLHDiYOCD+QmqxRZiFP4QE9Ax4iCmCR0j4SmHG0UUaah4x4gX/ATqHoN5/5DsmwjqD4FCDwUXPBx0f8zZsWvf2MOQhu0R+ENMgFYnOkakNKFjJBSQf6J1jAQnqjSwclHBjhEPuPDZry/CfexjgxXF+kN4ZQR+gij9ISagY8SMoOmxCago6EhuVI6REIRKAyHaNFS0Y0SH8xgcu91U+BzUNyE6QqAZLfsJIES5W0FG5A8xAR0j5qBjRE3UjpEwBEpDtmWn8oaIVLxjBKB9Pa5XIjb+5S/D0He6eiDP25FF8c4Q4OebgJOi9YdMryGZzuQLCfG9Jte9sIpE5Q8xAR0jhccGj8Cqxyl0jBTCb+BRO0YKvCDCOrkcFJMGHegYqTDK5cVaJDpsv6biy9JsEaIg0MvSCIIglQpWggiCWA1WggiCWA06RhAEsZZGdIxgJ3olggMjODBiAg6MIAiCZMFKEEEQq8FKEEEQq8FKEEEQqwlVCUI0F+okSPS8H+VcUZji4+UOoc6CCHwLlxKazgQ6RmzC65q7ZSlEng+Kbl9uuYu4/LDjnpyOEZ1XAi4Y9xXAspVkJ3Fi6OXm/sL2YfwTznfU7hA3CkYI34If8kiir0uB/RY/HtNjzX0XHSOlplxGh8XywhZlKc4xUjjvniFsI48O6/Yl5klIE3f9LF93X7McANW93rpyUWmOETiQXPirnFeChtOqbTn5UEfHNFgGjg8a0w8CpPaPdtAvM8R9QKxAL/8EZBYvd0hUvgVT0DGCjpEogKAVUTtGWJw+GmsT/pzyR17xij6j25fO9XP0+PmvsU3ysN4xAhXV0RRZIoeON4npZ+Kf8HKHTIRvIQ90jATGJD1IjmIcIyK8IhOlZzKe+9K5flRRoK13jJzLXHOGxD5Wxb9zvASOEY4tcoHK0y+kNw/zRMM2ldIdYgo6RgIRJD02UwrHyLEjqTUkPv9A6PNu4Ppxsckxwt0R9I8VWNWdywu+D1P/xES5Q0xBx4iDKi+wVaHSYyuluFFABbM/FbvFNNixjFPm9K4fFdY4RvL6gVi/lVdrTwXfh4lzBDLI9glyh5gCrVN0jKjzAlsVOj22AfmnFI4Rx/y49JDqxmyC2C/M/2i/Ibh+NJGlWbmw0zEC0WJnkvRlcn8A4HgJGtPXzZo6yha5uI+BbJBD5RyZaHeIKegYMSNoemyCjpzCCGzEjhHnMZQs0d2Yw6Jz/YhY6RgB4ECammNPya0Xr34wjpF/YgLdIaagY8QcdIyoCeT3COAYoY+hQsMhClzXz02ffY4tUmKhY8R57IFmPLTi2sYTC/IdH7l3x9jHAvz8E84rMXp3SP47aeF9C0HhLVJ0jKBjJAxOn130jpFrLwxPG9ydXhdrvuMpkzyu29eGuz5Ovti598U814/Bu3y0XNyKjpGKoVxerEWiw/ZrKr8sjajxfFkaQRDEFrASRBDEarASRBDEatAxgiCItTSiYwQ70SsRHBjBgRETcGAEQRAkC1aCCIJYDVaCCIJYDVaCCIJYjbYShAna1H0gRXKRXRYw53Gwp+d5ec4oDaXTM/i8X9w8EeYk8PRvwBQgXbQSr3XlgskxhgEdI+WL1zV3y1lYrw5EYzKIT2mchgjDXbHfnHyOETghhV6E3JxRqGgKXBanW2aLc3XdyBmCiwOW61D/Zr63BHCcDOmfquYGe63zQh5JdOdZomMEHSNF4pevwzhGYA/ufkF1kV3+6X1bHn6J3EH4uRdHh0Ol4Z7EqlUNU/LmmLvX2wbHiOgRyYW8SlapMjeNOiFVgAD3aaxYEdus8m3IwOR+nYuBbUJbli/trrm7vT3+IFvk4rUuDOgYQcdIFHjlayfPBneMALSMxtsO8PwD39XdfEKlYf/rP1C1CK1wjMBdQ+URUQFN3a7dM9e1P7CoXd6WxkWLN7z1lfrGbbGx4ZgYIiss3GPwhYuFka291oUCHSOBQcdIMMI6RqCMUilZyGjSIp5pIKTwsdgGx4hxjLuzh27euu3MZm6HY0sp0DTmUZh5PD75pPkhuhjgM1S40OJccVvt03QDAa91oUHHSCCCpMdmInGMnMtckyE1pOZcf5z2Bxr2CXKKSoM9jpGZ5/08IunDh+9Ok/Q8VVRk/tgHJ5nH4zN5JObIBQoq1UOvpR5RVSxe64oFHSMOYprkwhYmPbYS7Y1iaG7vyPyl8HhLVRRkgHRvf2MLW6klijRUvGPE1CMCfUG072DbziflPiD6KEyGbubyFloxjA18nTs3oB/RLVTMMUK/mAUqNdnFMLZv18MQmlz1aOC1rligLwMdI1Ka0DESClW+Lo6FJ9pb6zfC/0xVFFGlgZWLCnaMeHhEZGiU6XjqQO/W13t56wDuNBDxlm4g4eUYgeVwQulomORiAOcBSfXdxytOXql2b9zy25feSj+kWxfF4x86RswImh6b0OVrsf+PLTJzjGTLaA3JEFPhGRAqDYRo01DRjhFIrOMR6fqpeFen7/so3lWqb23fCK2eXfvGHobPTp9inLQnErNyFV2yClo9fncqnYsBHiEL9gWvDHR8/y/Wrk3O161TPbYGBR0j5qBjRE3UjhGoIGfWpn8nDnb5uYcDpSHbslN5Q0Qq3jFCh8lJD+natmknHZWgwHtF9UvYBxc2/L362c6uPTtqNh2dTy9GW8HFcE52Lxk5vjJeN48UjnhlT5KXiyHq/j5T0DFSeGzwCKx6nELHSCF++TqsY2TRXS0/Gu7s25NIEadCocsX3JnNsPSjSDFp0IGOkQqjXF6sRaLD9msqvizNFiEKtC9LIwiC2ARWggiCWA1WggiCWA06RhAEsZZGdIxgJ3olggMjODBiAg6MIAiCZMFKEEEQq8FKEEEQq8FKEEEQq9FWghAMoRwdI17AVKPJEMkkzLkxhV6PZxJ7vc6je20TPe/jXN/S45Wv3WuhiQmom7cP8P2axBN0t9XsqxSw30THiG6uqYj6Nx0Pwtxzr1/zbOfAnrQw55YizSsud8cIR3duxOV0wzz8nR9538+egw0PTP/eweRzA3BO+TbieYZlK8lO4sRALPS5TGbKZXTYK1/DuZ5Qx0i87QDzfWTTA0FOfMrWvV/6KzEwgm+5mMSOkYJKUFWpicB6XgnSizjSuELeFlo6z3aeefovV2R+tevNxhuDVEqA8/2BPTPv3fRdOVYgzxwgC+IXnf/esvaq7t5/rfl2kN9TVYL7q778GXL49E2NG+7/thiNhv9OzcKh85mr1g/A74vnA7bRnROOybnhGRcClYrHL/+WiN91A1TbuIVNCrM0mSmXSlBGzNet1YdOPds5/HMxj4l558PtG7ccbdi0vSmzdb6cn+h1JG1Ed73ESpAtcnHSkP+7HF6ZDX/RydtsMYXmvQDlgq2iwPr/0zny3Lx17W3lFF2an6e8x2EofOXqGOE4oaric5Y1VfexRZPIMVKac2Ny3XTbmAblRKKlHBwjMrRspeNzl9302efYonzQMSIwwY4RETl2GlTGk8ExAkRxblTwOI6q8+VyLnPNGRL7WHVtTSOKI8VxqR0jvCVKmu/oVsXbdMuW7pEVHSM5JtIxwhZT4ITuT8Vu4XdBqFQmk2Ok2HMD8N/yyvxuJzj7g8EiVcsDmTi88nVwgjlGoNz0JBLvM99HtSrPyWVLBysX6BiBzs+JcoyIQLM7HV96iJ/wyeYY8Ts3Joi/xZ0f8nWrmreq3y0gteQVWIatvUuHX74OTjDHCPfaiPmTR4PnyGVLBysX6BgBJsoxwnGa3WSJeMK9/CNRvPoRpWPE5NyExuS6eWzjeCUa09fNmjrKFiERocvXE+kYEeE3d/B9sEXKsuUFOkYEJsIxwqHN7tqWk2JF5OUf8bujmRClY6SYc+MHXDcIkw7XTfduYO7a5hvu/PoxkeK41I4ReCyVfR8Qbh98H2yRsmx5gY4RAShYE+EYufbC8DRoRcWa73hqIgsqf9SIwjHiZNTg50ZG/i3+riE8Aic21CyEayGup9eODphUOa338cSCvs7k0ABbC/B309hHJCL88vVEOEaY7+OFhPiuovA7/AklSNmi5QIdI5VDub5ThoTH9mvq9Z4gkkP5niCCIIhtYCWIIIjVYCWIIIjVoGMEQRBraQTHSDJZfqM1CIIgEwMh/x//rMXMp1pMagAAAABJRU5ErkJggg==">
          <a:extLst>
            <a:ext uri="{FF2B5EF4-FFF2-40B4-BE49-F238E27FC236}">
              <a16:creationId xmlns:a16="http://schemas.microsoft.com/office/drawing/2014/main" id="{00000000-0008-0000-0300-0000011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121920</xdr:rowOff>
    </xdr:to>
    <xdr:sp macro="" textlink="">
      <xdr:nvSpPr>
        <xdr:cNvPr id="4098" name="AutoShape 2" descr="data:image/png;base64,iVBORw0KGgoAAAANSUhEUgAAAUEAAAGRCAYAAAD7MAEeAAAAAXNSR0IArs4c6QAAAARnQU1BAACxjwv8YQUAAAAJcEhZcwAADsQAAA7EAZUrDhsAAFKXSURBVHhe7Z1xcBTHmehbxJUYJ8QFsrANWtdBJFCsM7HZOFgPcIhD9EQssM8HcSyfnJSN7QqhiN+7pEzq/lj2qlKW34VXtkr4yrLwu4sOOS6c+BnkQgWYswOccB2r3NknGRCBlFfYhrWgiP2Ckzj47dfTPdvb2z3TMzsrVtvfr0oFOzM72zPT3dPTPf39qv7rv/7rE4IgCGIhjY2NU2gl+Itf/KKKLbOOv/7rv7b6+CsR269p9vgvZgv3p/7+7/8eGzge8PM0hX1GEASxEqwEEQSxGqwEEQSxGqwEK5TMwZ6/Tew4+s/sI4IgGiKtBC8eGbx1cPziTewj+cxnTn1usKfneXFZlFy8ePzaHYnEbxKJnvdL9RulxO98BV3Pge2Oj6RXxBvmbWeLQnFxfPCmnp7B50995jOfY4tcdL8ddHmpOboj8c87jn3Syj66lDpvThbk6+J3nXR5wus8H+rp+Tnf5/jBHWtV+x8/ePBbxy9evNb5v/82wCfHdrQmEomLPQczP2SLQlFQCcLBZHf8ifiX/ZG/ZauV6/nBjx4beGD4yPhtdMMsb2zv3jLwSWP1dbOmjsJn/l1xfzQzPpPY6/cb4npe+SWTve+Qezf9YNO9M7870JkcSiR2/EY8SWFwf1vRiuJpFdPjdT78jsPvfAVdz7nwztv1w2MLP3993Scp+Bz0mABY/vovB/4hnR741q59Yw+zxS663w66vNTMqI69kXrt0CNyof3ozdSygfTML9dMJ+/B5zDnqNwR01345zQc5OvidZ1onnhx4H+p8oR7nn//+2lsEQXO8670zJtrpn50Gr5/7K3U3fL+neW7Hxw5XhU33WawJ7Fn0zby5Jq/W9fQ+FbXf088M7hX/m1TlC3BWPP6HyaTySr4W98c+2F69+A6sXIR18PfqnlV/WyVCzyO9Z1umf3Q+mV3zv7DHz5ki0ltbe2/pXe/9GOvuw3glYbR/t6OVG3LyYc6OqbBb1fNW9Xf0fHQtJba1Mne/tEOuoMiiH35y8/HUvtvkdPIK5eFC8letojidT78ziVHd744futFRg8OPJKON7xVN2XKu2xR4GPiy1esiG1OjxxfoWoNTgaqGxr3xcaGY2+/c6GeLaIcO5JaQ+LzDxRzjsqdP/xh9odNDyaXQ95LJNpnxQk5Eb9300onP669qql6yq/ZpkbQ85BeeKWbJ4RKh5/nEx9clneeR4+kVsN57n38cfc8F4uTjvjn2x9dvvQvP331saa1yW8kH2xaPvuKKz5gmwTC93H4qpqZR9l/jYFmatfumevaH1jULhfYquvv/GVbPP3ywMHRR9giX8Q0QCvwaIosiX/1lifEfcMFv+Wr8SdI6uiSYluD5Kr5bzXWptPy3QgqF9L8355vqCLvsEWB0J1Lr/MF+K0XgfNzJBX7Ysvi+ifYIoeAxzR+ZPg2qEi/Ut+4TVWJTBamzrpuVD5uNw/J3QUluu6VQkGeuHB5HVvlnOdY+u2jx89/jS1iedE5z9mKN+J3FlNzR96+PFuvF49nJQgHsXNb6slYc9NT4h3Tk7OHbt667czmlg2tq3XfqV/c8oTqjquiIA3nMtecIbGPa6o/OcU2cfmkuuZUjJz5OHOOXMMWhePidFqhiq02Xrk0NlTvo9sERHsu/c6XwfkUqTo+Eh+qbfwdf2R2CXBM8LjB+xRVlchkAm6OddfHdomtWThHKRInvLvApQTXvVKgeeKtdIubJ7IVnpgn6Hn+YmxAbCGy81x1fe2FIbpRREypbvr1rXHycuq55I5iHoM5ykowvbvrp9BvwPvc1i6u2cxWUfh6+geJEB6V0ocP350m6XmZ8arZbFEBcBBL4+lDA798/R/e+ehy5WOWLg1V45nZaTLzMt6XUyo+qbs+FScpAn0Q8Hl88NW2ofjSt1SPEJ7nw+9c+pwvk/MpAo95sevrdilblIbHxB//oJLgLexKeiRWPQpzglx3m+CPwlCh0Txxa/xJ1SPxdWMjtfyRuBSPwpx5q5LfTWxoWRgbG/hS9+OP/66niMERzz5B+JEz2zb9kzzqk9cHBs/iQoGDddD3ldq280mvx1LaGhwbuHFwlCxji/LQpSGy1p4PU6bUvTs/Tg6kjhxbI7aM2Oo8/M6H6jg4fufL9HwCfq0W02Oijz1k6ObeZPIdqMA3bUvtJGMDX0+9+ZHyWpU7/KYLLRd+jgq6CxhBrrtNuHni8cdP5eWJty9384Rznt8+BI/E/DwvXzTnyWz+L8n0Pfi9tclkzaZ74yvTu196dP/pPy5kqwLh+TjsHFS22ZnNEGyRETWL125ui6cO9G59vVfXeoB939Ece+zff3Xgf56pIp9niwsoSMP0mvdmkvRlqsczeqFqG9MFj4Ih4Y/t+/al/scAaSHxGy5/la0KjNe59DtfJucToK0W1aOwgN8xQeYd3J1exz7mETQflBPzGuLboeVy7viRrxZ7jmyD5YnvsY95pI6Nrmb/pdQ3xF/g5zlV2/jB3Gkfu+cZWpDVM8mp9PjZBdmK1J3bfeHChWmZNJkD//fd5uInBXPCndZ7+vy5c5cZPS3J+A6MQOYhqf23m/TfidS3tm+Mjw3MUb1ewaluWtYXTw9VD6XJzWyREjENcKduao49JY8wO4MH6Z/KAybFwPvDdu9O/b3uETMIXufS73z5reetFr90+h0T7y9rTyRmua3b7B/cbSMZdLpEQEFZODb8+Rd/9e/JYs+RbfC+vfZHH52tzBO///0stqlTIY0NT3PPszRiC5Vktgx8c/m6v3PLANy8xb5Dz22u+yglv0fopC925fTpHxeME5jgWwlefkP81Zba9H+ILa+8PrDsn+rdKaisWje0rCa7u34sPwJyYJuV98Z/wD5qkdPgtIzSLzvvBjppgOY5DP+rXtcJC+8Pyz6Ujnt1jJucD0B1Ljl+58tvPe/HW9ZU3ccWKfE7Jl1/mdxXBuQfd+6Fdd3ySwmcv4Z4+q10OlbtN8hhet0rFfn6bf1VajPNE1dckTc6zvLEJyNjU93HUPE8z6+78l/ZYhd4nW19M+nY+9RPUvw36JsPjy5fyvcvbHNYtc30hprUcGdyN19Hy/4999+/9OpPhxqAwVBaFRJ2Cd4j7BpfuiC5av532CJrwVBaGErLBAylVUFgBz6ChAcrwQoAHt9gZkCUXQEIYgtYCSIIYjXoGEEQxFrQMZLF9k70SgQHRnBgxAQcGEEQBMmClSCCIFaDlSCCIFaDlSCCIFajrQRh0jT1d0jhxmUHAbyoq3I1ePkpdDBngHLaGd1fIvG+Kvw5/55qXbnhdYzFcKkcHog/nvmalzMpBBuHfleTr918r/mujG5fXmWrGFj6LsJ+s/+W7UBVwegwXJT+ZO+BFCFz2SIKhHSCWHjgYthfvf4NHhcPPsth36FifLWr+/8OjJGv8+/Bch3q34yfaE+0Lmmc+u4Hzr7ic+Dzn/uTHX2p2O0tG+7/xqLpJ96j34u3HUi0fmqjsw+Y/N+6xCQAKSCPJNLjSZH7SLztZ/IUNNVxudsLqI459934nHsSi1vObe38R4hQws+b335M1hdcl+z24jY8DcPXr9/1/dv++DQ/FliXT2wczu+Mg8lH5N/k87NNj/tSUC6jw175GvInneq4m/wYznXdkWdvowFA2PkV8xqpbXlFLF/ufkExkV3+6X1bHn6J3EH4uZdHh3X7EvOkWLaWr7uvWZ6H615vXbnY0v3iQJoshzxwf9P5vmz69mfL5UFWLvc7ARhy84PLAe3osOjvECNGqDK3znvBJ/Ob+ilg0vWqZPIL/LdosESSuhIm61MhDrtIkHHmr0p+B4InQBAC93vZi8IDDEQRa7AYxwj1iCiOmX8XjqNhSvUodT9oYg+6+5F8JH7rZbx8LnyWCezLyz8h/ib8hfGn2IpXvobW10u7yUNQAcK5hqAgNG4kk0KBVCvz1U1PwDK2OxdaRrM3fp5/4LteNx/dvnRlSwyRL+JZLtILr+Tlgh13nVAu11xHMn9694PLShoDNCx5lSDcYVT+DhXQ1NV5LyL3U9TWnJw6daobkgfMViaVa2hK5poYmitGYfHCz+1i4n4J43MJSxgXjc2oIqTTcziWmQOx86BCUk2DhDLqFRRWhW5fFF3ZUoWsr1AHS14lyONyqfwdeXh4L6BpzCfzh/VTOBkkft51QLCMQf+vAe6sz3YO7CHNd3QXHQo9pGvCuTGoYxq6QVW3bdpp0ofzfubMfDmDciAtpu6XID6XsARJj82I+Vp1fZ2o6Z+Ms49qzmWuyZAaUnOuP077AwP0CSoxKFsuYrlgMQSdhlOsQVcuWLnc/UnzqmfChroqNYqBkZnn/fwdXt4L/tgX1k8hFygnBl/qJA/1Dn9Q0bDN3U7dZOfAUJqQ6qhaiHL8PC/XBI+/RkOOZ1F5bgG4I9NHorGBG7s3bvxA7igX47jRvqK7Fv1IrEz5ep2vRIVT+Xr7XLzIiy0X0J+C5Ij2RjE0t3dk/lJ4xKaqWTJAure/sYWtNMavbKmQYwjSYKfxpUfkcsHKZYaVy6u0rcsyIK8SNPV3QF8Q7b9QeC/8/BTQj8hPuCxLh1bk61t7e6G/gxcose+K/9G+jatnnIIKAgr52mTyKtrnAn1bPtGsTYG+jDCOEZ4GnY+Dp5d5EfL66/L73wq9sHy9zleiw8/n4kVemgL6UxAHVb4ujoUn2lvrN8L/3ACwIaJ+e5YtjcOXlYuDbrlgBjq22oXl8xqaP5wy8Re7fv3/HmKry4r8lqCHv0NG5b2Au52fnwK+lzvpq77A74pwQulI1dVtp/wCg54dTy+IVc94g3104RUX+AnYoqII45qAx5uaWnLyTOb9+WyREueOmj5vapETcR+tDZ0fsL2JzyUsQdNjE7p8Lfb/sUXMkTPzd6ouEJdsGa0hGVIq0ZiubInklYtPWqritRdeY6uUQLlsYOUy2/gpu1dl8ipBSKzj7+j6qXhX171fJHsvivFTwAgWfWVkzYLvs0VK6Ih0Kr4EwshDk3vwyMVb2SraBN+fIrf7XURTwrgmnBG32I1yH4nOi+Db/6ohqPvF1OcSlrAumkpHl695d8urg+Nt8Jk/bfj6T7IV5Mza9O/EwS4vhWgQ3LJ102efY4uU0HIRS7/tlgup1agql79i5TJbH5RdUIfL2L8udKie9JCubZt25szU8G5T/RL2wQUqTXgt5dnOrj07ajYdnU8vRpvGT9FLRo6vjNfNI4UjXqzyImSgunvjQO6E1ra8suGuj5Mvdu59Efr7nIW596wuTs/eEzuTLyTE97DgPaaI+qb4o8bAtjMFlZoI7RvbTdy+FHjVpKm6Ku9RlnkR9gy4x6HezhSnP6eb+kqaFtf47gOuFfhcUqzf0hT52OARWPVIFzQ9NuCVr+G1Mrgem7Z17XTPr5B389/DTBP6ffa9RXe1/Gi4s29PIkWcCoUuX3BnNsPSjzK6fSnLlsG7fLRc3Bp/MlsublJ5RKC1mi2X27Pl8gtsCT02srvrf5PFSbagfMBQWhhKq+Kw/ZrKL0sjarQvSyMIgtgEVoIIglgNVoIIglgNOkYQBLGWRnSMYCd6JYIDIzgwYgIOjCAIgmTBShBBEKvBShBBEKvBShBBEKvRVoIQDIG6DxI976vmg8pzYTnjBw9+S5wjDPMRSxldxE1nMTHVJhDmXUDHiEV4XXO//Kubtx+GKPdlAjvuye0YgbmtK8lO4sTJy83Z5ZExwFUhziPlyyGUN49kC/MWRfeFjBtlI8914fzW3HOvXwOBUnNzGxlsDiW4FXSOBralL/JIoq9LgaWVz6HNn5fpoJpfm/suOkZKTbmMDotliS3KkitH0EAI6hjxKi98zr48Ohx4X4r5w+71rkDHSEEABdcxsn7Zl5xoFqtIR0d8Gpys3v75HX5hrsKirLyqm95dm2y6in0SCnHdrmvfebX+WcHRQBav/TUN/PDaoUfiNyx71SsShx/gUiCH998yuLj+JjGmX84xMrQ3w5YBYuGnGRsCSN5W+7SYBtExQjPrg8nlTbBCmPResB+I4NvU2sczt996Gdcx0nD/Pjk2IY8lB2nghRUCo4rXAOLle1VsQdNjGxC0Ahwjq9hnCKgAN3UIJDK3evCU6BiR8++H3AuS2bqra4SsYLtwCXKzdx0jRe7Ls1xQx4hTLthx1/HjBsdIpnPkOXCM1F1RfiH48x6HoTCoHCPFBG6MEi6GgTBafo4Gtigc6BgJjEl6kBxhHSNhiGxfNjhGwF9whsQ+VsW4M406HRbq3qDRptV9kIAYNy20o8EEdIwEIkh6bCYSxwjDpLyYIu5r/+k/0rD5SmxwjKjuTqVGDvG9vpk8NtCZHJIHU5zYbLFbgli2igEdIw5imtAxEp6obhSm5cUE1b72PvWT1I4jF1eyTQpAx0iRQL+RW6AkvwjHCdtPfiaHaocmdzq+9JCqEioF0K+BjhEpTegYCQXkn2gdIzl05SUM7r6Oja5miwpg5cJOx4jjP2hMXzdr6ijcQWZcTU7JLg/oy8iMkTnsYwE6v4gfTpObLBFPtqr/z8jREAB0jJgRND02wQfzInOMlAGWOEbyWyiqvi6VU4I2jUmccF8wZICzp0mgQs5DkosVHt1vbctJsRIK62gIAjpGzEHHiJqoHSMyqvISFravb/rtywrHSNt4YkFfZ3JogC0D5GH0qnmr+tc39zzWlbcde7+PnCA7Er2/cd6Pyi57oLqPbVAAnCD5XUB4zOK/Ba1AMNjFmu94SswcUGF7ORqigI+Ko2MEHSNh4BVUlI6RQi9IfnlREeW+AFoubkXHSMVQLi/WItFh+zWVX5ZG1PDzlN8niCAIYhlYCSIIYjVYCSIIYjXoGEEQxFoa0TGCneiVCA6M4MCICTgwgiAIkgUrQQRBrAYrQQRBrAYrQQRBrCZ0JSg7LeTPMBdysKfn+WLmksKUOZ1/gfkLPplIZ0IU8HSjY8QevK65Vx4H6HcVeTxMPtLtC6b39SQS70ddllgaJ59jxM9NwZfBdrLTosBxcbplNvcZwDIR1ZxhCptXqfOHtNb9JkW9DfG2A8xfcACCNoiOhSDII4nuPEt0jKBjpEiggnPyZ3SOEb99wid5dFi3LzFPwvf/3J/s6EvFbl++7r5mOQCqe70r0DGibAm6boqQLQu4uF4VIMDj6vHQWh0dD01rqSWvQFQK8IeI/gUI6rC+OfZDCFb67tTGD8DbABcCggK0bmhZHXUMRHApqKIx5xwjZC9bRIELz48D0kkDSEp3ddEx0jClepQGs9TE53P3I0S2BvzWy3hdRzGgJo33RsgJKIDO/nOxDMXfhD9xcn3Q9NgG5E+aV9k5ogF1SepKCNQLjQBdHoe843pBssvY7ihe+2SbFKDbF9dV8AoUgv6CjuHo8fNfY5vk4VkuqGPEKRcsjXVCGV1zHcn8CRwj9AtlhrISLMZNAU3grt0z17U/sKhdVwGqmDB/iAnoGAmMSXqQHGXjGJFC/M+ojr2hjQJthWNEIJSb4uyhm7duO7O5ZUPr6qCPpmH8IfyRmjTf0R1pxGl0jAQiSHpsJkrHCEfcJ1sUjCANCxscIyJOoQ3mpkgfPnx3mqTnBY2WDCcqiD8EtoeOXOYvqFY9fhYLOkYcxDShYyQ8pbhRFLtPJwZk6mRvMvkOv8ZwE2erlVS8Y0QmqJsC+ohov8a2nU+KfUN+bpGg/hCxP5E7PXbtG3uYrY4E6MtAx4iUJnSMhALyT9SOkSj2KYuW4I/2G14945QcLZrDykUFO0Yk4ECCuikcWUvqQO/W13t5q8HLLeI0p8P7Q3hlJftOoiDPpYCOES1B02MTdOQURmAjdIzo9hkFZ8fTCyAMPvuoJK9cVJpjREUYN0V9a/tG09ZZUH8IjBzL/gIIYe534cKAjhFz0DGiphSOEd0+i4W+1ZGKL1l202efY4uUVLxjRAZq8aBuCvgOvLrybGfXnh01m47qRqagFRjUH3Lx4vlrM53JFxLie1KCmyFK0DFSeGzwCKx6/ELHSCH8Bh21Y8Rrn6oK1Gtf+Y6R+AmTd/nQMVJhlMuLtUh02H5N5ZelETWeL0sjCILYAlaCCIJYDVaCCIJYDTpGEASxlkZ0jGAneiWCAyM4MGICDowgCIJkwUoQQRCrwUoQQRCrwUoQQRCrCVUJwnQ36kVI9LzvNVeUhtPpGXw+SJgr7k5QuhD47xrE4ytX+PGhY8QevK65X56m39W4P7zWqQi6fbGw4568jhH2kcK9B3DBuN8Alq0kO4kTQy/fcQC4kS4EHwdbpcTdt8YdovMxtFYfOuXlKvGbjC6PJPq6FKRjUp0v1fHmvouOkVJTLqPDYnlhi7IU5xiBPXitA+TRYd32ectd1POH3eutKxeT2DGiDKCgy8yj/b0dEPElexK/5Jz0VaSjIz4NTmRv//wO8eRwp8aKFZnNu948vuLUbbVPixdKBib4gzthFfsMARjOdA7/HNwhc8ngNaKPgSxe++v1pId0vXbokXj2gq5NNl3FviYUdLOoLyrApUAO779lcHH9TWJMv5xjZGhvhi0DxPNFMzYEkJSOV3SM0JvFg8nlTbDiD3+g64GC/UAE36bWPn5z8Vsv4zpGGu7fJ8cm5LHkIA28sEJgVDHYBcTL1+UFIGh6bEPO0/BkBDfskeMr43OrB09p8/QNy179kHtBMlt3dY2QFWwXFNcZolinwm97XvGyj1o8ywV1jDjlgh13nVCW12Q6R54Dx0jdFeUXgt/4cRgKCo37J4WO55FWSOroEjFYKo2NFm946yv1jdtiY8Oxt9+5UM9WBSaIc0R0lbBFwUHHSGBM0oPkKMYxEtQ/EpmvxDbHSAHnMtecIbGPVfHvHDdCzvgGrTEeiZnH5JNPnBf8jsndIUF8DKKrhC0KDjpGAhEkPTZTCsdIFNA8SaO+97y///Qfadh8JTY5RlReCdWdSwd/9IOLzVuKJh4QOpBShDsEvh/EVeIFOkYcVHmBrQqVHlspxxsF7xLhUd/XN5PH9j71k9SOIxdXsk0KsMYxAn09bjh85pWQW3te0EdhMnQzF7jQymFs4OvcuwH9R27BEpwjUGCLcYcEdZV4Af0a6BhR5wW2KnR6bAPyT9SOkVLgqDHIz1LHRlezRQWwcmGPYySP6TXvzSTpy1SPtY4boTF93aypo3DHg2jRbFUe3EHh5Rzh8EoIvASq/j/Zx+A0y/NdJcWCjhEzgqbHJvhAXZSOkUuNdY4RDhxIU3PsKbn1IveDOe4MeLUlMStX0SWroOUjD56IQPNZ5w4x8TGoXCXFgo4Rc9AxoqYUjpFSwcrcN/0aElY4Rmhfj8IrQZvL44kFfZ3JoQG2DhCH2J2BibaCgQnnovcSeD2gbh4pHKlyvAQad0gN8fIx8Nan7CopFt6fiY4RdIyEgd/Io3SMwPc+3L5xi26dKv/r9lXoGHGur99IMi0Xt6JjpGIolxdrkeiw/ZrKL0sjavh5Mu8TRBAEqUCwEkQQxGqwEkQQxGrQMYIgiLU0omMEO9ErERwYwYERE3BgBEEQJAtWggiCWA1WggiCWA1WggiCWE3JKkGIFGMaVUTnPmCOgrLxjcjzfznjBw9+S5wTzdOt84i4afdxtCCVgVd+8MvHurIRFK+yxIHpdVFGAmK/WfaOkYJKEE4EPVnuX66g8nXixYSJ34PPJPbKF/jseHqBXyQV/l0aauv02dk8E/CMsenI/DU0DE+qb4kYcgsq2GTy1TdrNiRWr79+eBfE5ovq4umOH9J6bCT1bTmKjrN890MQdzB3POTJexIb5jWOdK0QMzc/Lh5/b9O9M7870JkcEo8NqRzcfMzmazvxF83ysbZsjDsxN/PzaPZPU4n6lSUOpAXmF9NYmIq4f265UFSiNK09iT2wHuoB9pvH2W/Ozv7mYkLix3kg1nJD2RLMiyEnxbVzvRURtGBc90Fz7IdsEQUm+4ObAUIPwf/BN8JjGUImEN0MENQBvq8LZBoGr+P3QvSINEypHqUBK4UYfK6jpaNjGkxSr5q3qr+j46FpLbWpk739ox10J0jF4OZjlpdoQF2SuhJumH75WFs2WDxKvk8n/5BXdNFnvMoS24RWrC/trrm7vT3+IFukBBwjqijlOccI2Quf2W/WCb+55jqS+RM4RugXyozAj8NReivCuA+C+EYuDWqPCNwdgzhakMqmGMeISBROHe4I+cJFn6jx1jtGBCbCW8GBu1RY38hE4wYXVXlEAjhakMqkFI6RIE4duSzBMui36zvdMnvFbbVP0428sNYxoug/cAp7eG+FCXDyivGNFIPf8Xuh84gEcbQglQdUFlE7RqCMmDh1dGUJ+vIOvZZ6RCUG02GnY0QT/j6It0LnFPFC7Pvg3o4gvpFiMDl+L3jaRY8ItvbsBSqbUjhGTJ06urI0tm/XwxD2P0iXFPTx2esYkYCDNPVWmDhFvGAn3tg3Ugqg727G1eQUpIEtokA6MmNkDvuYR55HxNDRwhYhFQJUFKVwjLh9zAGdOmJZgjc4SKrvPt5A4UK07sf7TnqpN611jKjQeSvgwp89TQILhDjQlC7GN1IqVB4N+jhA4gT6ebw8IpARTBwtbDFSIZTKMWLq1PEqS9B1k2ucMA8QhOl/tG2OV/+dFY4RU6Bgi94KuDv1J3sPpKgnJH6i/QHvESt490jpPnhg+vfC+kZKCbzSsr6557GuPMdK9jgTrUugdXvRxyNi4mhBKgde4UTtGLn2wvA0Y6eOp7snHOgYqTAwlFblgaG0MJSWCRhKC0EQJAtWggiCWA1WggiCWA06RhAEsRZ0jGTBgZHKAwdGcGDEBBwYQRAEyYKVIIIgVoOVIIIgVoOVIIIgVnNJKsEg/pEwwHQlGoJ8Av0jpnDXg8o3UQwXjwzeOhHxHZHgeF1zmGoK4e9L7RgBotyXCey4y94xUjA67M5ZhPmFQtQLwI2IMUa+DuGmICxQ0O1hOXxnf/X6N3RhhaASg+CPEPuMLXKAecVr5/3NsZ7Of4F9sqVZcvN3nfTEl8DnLxzvj0NkDK+5ufJIYujjFxCPlZP7bnzOPYnFLee2dv4jnVi/ftmdMP/Tbz8m68VzyrcXt+FpGL5+/a7v3/bHp/mxwLp8YuMQ9n3GweQj8m/yc2l63JeCchkdzp9Lz8nlVWgMdO0mP4ZzXXfk2dtoIA12fsW8xucMQz7JW+6S2yd8kkeHA+/r0eVL6664Ii9KtHu9deViS/eLA2myHPLA/U3n+7LHvT8VbzuYaP3URvp/Eq9S7fdSws+TMoACuATI4f23DC6uv0mMVcYdGgsXDu3NsGVA0O39cGKRNV3FPgqFt27XrMs/+vBYdpmqYoNMdyQV+2LLhtbVNEPMW9XfFk/9rO/IsTWr5s03DlAQ+PiFwk8zNgSQvK32aXFyu+gfoWl7MLm8CVb84Q90PVCwH4jg29TaxzO333oZ1wfTcP8+OeYcTIIHBwqkgRdWkD+J5/Ro9s+rYguaHtuAACPg91jFPvOb+8jxlfG51YOnRMcIWbz21+tJD+l67dAj8RuWvfohd4xktu7qGiEr2C5cggTdcH0lRe7Ls1xQx4hTLthx1/HjBsdIpnPkOXCM1F1RfiH41Y/DQV0CJXYPBPEoVJF0NU8HVJ4Q0gtC+NCVppTseNT+ERU03pwHfuuBKH0wfpikB8kRlWPEhMj2ZZVjRHQJsCjQvJWldAkE3T4gKo8C9XjQYJA5JSgP7UXD4/f0HN2ysfu3EMxS15LREvJ4oA9EFxsQWrda/4gClYOCA2kxDdU+ET6YIOmxmSgdI6r8HxZxX17BVK1yjAA86CNvuUAQx6H40rfkxypO0O1NcWKy5TwK/DGOB4Jc30weA3cvH2i5/Ib4q6AgJOn0vII+xQAEOR7uJOF+WZ3+U+cf4YhuE9pXdNeiH4mVKV/PvcUmlbtT+Yb3weT5VqTKO0x6bCWqG4Vf/g+Cal97n/pJaseRiyvZJgWwclH5jhEAWlUQhtt1CYykV3iF8g66PQf6ktxCpvCP+HkUaKDSOPkZ/C5ktO0bu/8T+j/golIn6+m+2WFGxIIcD/SN8YzEHQ6pNz9SuleYeyHPP8JW5e1H5Tvm66EiPbNt0z+ZZvwgPhiZvDQJDmUgbHpsA/JPKRwjgJj/2aLQuPs6NrqaLSqAlQt7HCN5LgHSQvxCeQfdHvDyjzhNbXOPAg1nL4QcpxFws833sE7fMMcDjzc1teTkmcz789kiJc4dlflHAuI+WhtmfNje1AcThqDpsQmoKOgIbMSOkUtJXrmodMcIdQnUptOuS0Dq55Ix2R4yhal/xMSj4Dwuk9vdinJs+Ma337lQT/+fxatvzY+gxw84gzixG+U+Ei//CFsUCJXvxAudDyYqgqbHFkrlGOEU5P8iYPv6pt++rHKM8JbUwLYzBYVahef2n/rNtTsSXb8x9Y9AK1DlUYATKr9DCI9lzujXKtIWT7yc7/CAd94WfSNIxuKYHj/tG+OeiCzwygH3inCm+/hHguL0fXb/B4zUNS2u8d0H3I1FH4wp8rHBuVY90gVNjw3wCipKx8iGuz5Ovti590V1/lcT5b4AWi5uRcdIxVAuL9Yi0WH7NZVflkbU8PPk+TiMIAhS6WAliCCI1WAliCCI1aBjBEEQa2lExwh2olciODCCAyMm4MAIgiBIFqwEEQSxGqwEEQSxGqwEEQSxmoJKMCpXhTxXljN+8OC3wgQz4MBUJOoPmUBXQpR4+SaKAR0j5YvXNYfpoZXkGGHHWvZeERGlY0Tl//B1DDBXAcw95P4KcFmI++HbQagr1fxE1bxgCsxzdN0i8TkQov7P/cmOvlTsdghPvoi8TnTf4z4FtqQAeSQxyHHCseXPy3RQza/NfRcdI6WmXEaHoYKbzI4R9xpXkFdEhJ8nzwAKMlG7RGScGGRqt8iM0YNf5hUgvdirkt9pI9mCTyfsN23WfS9M4AR0jDigY6Q4IGjFZHeMVKpXRCRYn+AEOwYK3CJSSKwZ1bE3aMRa6TEiiJNECTpGAoOOkWBMGsdIhXpFRIJVgiV2icgUuEWkIJQ6VE6SQKBjJBBB0mMzk9IxUqFeEZHAo8OlconIOLHYcm4RJ15d6mRvMvmOc8HAw5F249xx5O+FBR0jDmKa0DESnqhuFLwbg0djnwjHSCV6RUQCV4LMMRDYJSIDfUhu4TJwi8gXzLlosR+Sq2ecEisKPyeJKUGOE/rGeJrQMYLIQP6ZzI4RVhYqyisiErgSBPzcG1BhzbianAKnAFtEgUfZzBiZA/+Pwi1ydjy9QHQKm37PFHSMmBE0PTbBB+kmu2Ok0rwiIqEqQRP3hso5QZvRJE6gT4QtUmLiFoGWZF8qvkQc/DD5XhDQMWIOOkbUVIpjpNK8IiLKV2RoX4/rlWDvjDkfKNDS83NvVM1b1b++ueexrjzfR/77TCqgNWfmFsnfl+57xWBynED++XJeOUDHCMIrqEpwjNCycGvleEVEMJQWhtKqOGy/pvLL0ogafp5CPQ4jCIJUClgJIghiNVgJIghiNegYQRDEWhrRMYKd6JUIDozgwIgJODCCIAiSBStBBEGsBitBBEGsBitBBEGsRlsJwjQ06j6QnASyywLmPA729DwvzxmFKUM9PYPP+8XNE/FyMQA6R4Lf98qJUqUVHSPli9c1d8tZhThGRNhxl71vpGB0GC5KoRchN2cU5iEWuCxOt8wWXR5u5IyxnIsDlutQ/2ZubrC4P9GR4Pc9tsATeSTR16sgHVf+vEwH1THnvouOkVJTLqPDfvnTURKUr2OELaC417uCfCP8PBUEUBjt7+2ASCzZE/UlXqnpoJFcpAoQ4D6NFSsym3e9WejbkIHJ/ToXQ9080q9zJPh9jy0ODDpGHNAxUhxe+XOyOEZEKtU3kvc4DIWBxuNThIeXgaZu1+6Z69ofWNQub0vjosUb3vpKfeO22Nhw7O13LtSzVaGI0rdgBDpGAoOOkWBMGseISIX6RvIqQeMYd2cP3bx125nNLRtaV8t3fWga8yjMPB6ffNL8EF0MbJERYb9XADpGAhEkPTYzKR0jIhXqG1EMjMw8L96dVKQPH747TdLzVFGR+WMfXGgej09lhNMRtkBFXRDRMeIgpgkdI+GJKn/ybgwelX0iHCMilegbyasEnTvRmY8z58g1bJES6AsCv0dq284nZTcIfRQmQzdzIRKtGMYGvs6dG9B35BYqyS0CrcgwLoaw3/MC+jXQMSKlCR0joShF/uRMhGNEhJWLivKN5LcEp9e8N5OkLzN5fHVOWOpA79bXe3nrAO52EN2ZbiDBL5LOLQInlI5USS4GP8J+zwR0jJgRND02ocufk80xIlJpvpG8ShAS29Qcewoec8S7uu79ovrW9o3Q6tm1b+xh+Oz0KcZJeyIxK1fRJaug1UNSR5fIrUYRnYvBj7DfMwEdI+agY0RNpThGRCrNN1Lwigy01OhQ/bZNO3OjC/AeUv0S9sEFKs3WDS2rn+3s2rOjZtPR+VR63lYgPXcueC/RvbrCL6TOxfDh9o1bcu+k5TsSvL4XJDOp4H2a6BhBx0gY/PL1ZHKMiNBycWvl+EYwlBaG0qo4bL+m8svSiBp+nhSjwwiCIPaAlSCCIFaDlSCCIFaDjhEEQaylER0j2IleieDACA6MmIADIwiCIFmwEkQQxGqwEkQQxGqwEkQQxGoKKkHZVVEqdwXzD3wS1HkAU5F6Eon3TWLylSv0GAL6V0yBOaiDzyT2wrnVeUwg0AX1WkQQiw7xh+f1UjhGYEqcSfQek/Jmui9T2G+WvWOkoBIcPTbwgBhFRv7MgRMmX1heAHWFD+AXfdOR+WtoiJ1U3xIeUsut4OBiiX8sg8BvJjszLyxLJG7Y9NXMExCTL+rwTfy4VJlFVcG42wt/XscP+3j9lwP/kE4PfIsHngDEfRf+OZWV6rf48fPvb9zY/QFM2N+QuGfezN1d68Rt+Lnn8f823TvzuxCLTg5phkSDm9fZfG0n/mLuXENYuWTy1TdrNiRWr79+eJeYn/n1pN89fXa2qoKE78OcYF38SsCrvLFNKHn7UsT98y0XPYk9sB7yPvvN4+w3Z2d/czEh8eM8EGu5UdTjsOuwCNCagIn84F2AsEI8AAOPYchj7fHoMx0dD01rqSWvQKSKay8MT4PIzjyaddW8Vf1RxVGTAZeCKhpzzjFC9rJFFDHmHsRZ9Aoiy/exYkVss7idGOCSZlZCTkCABWe/udiC4m/BH5/s7kYr6eiYBnH/qqc0jNLzLGzj+mOy28AyOIfOOU6d7O0f7YBtkOhw8zq7VjSgLkldCYF64YYvOkZo4BKI0ckqNNcLkl3GdpeH8/2au9vb4w+yRUq8yhvbxHhfnuWCOkaccsF+s074zTXXkcyfwDFCv1BmFFUJltph4YSlis9Z1lTdB5+rSLqat0rh7nP2NJkN4Xngc6SU0KUQtX8FgDuvnxtGtw2PlOMX6gyJlmIdIzwvfuGidxR4E4z3ZYNjJAzFOCzgDgT2LdJ8R7cqbP0xGpprPg3NBXcUCD1EHyl6eo5u2dj9WwhUWZKQ7iVwjABQcRfrX1HB4zh6ulXOZa45Q2Ifq+IXmkYUR4ojKscI5DOwPK64rfZptsgIVXkLtC97HCPBcKIKB3NYwImBvj/mH6hWPT7CNvtTsVtaFtc/wRaxmHXkFZJOzxNjoJWCUjhGivWvAPy36J9XZzrfJvsH/UyqlgcycUBlEYVjBG6kh15LPWJihOToyluYfVW8YyQsOoeFzici9v0x/4AbnZoDTex0fOkhfnIhE23f2P2f0E8C36N9Waf7ZnuNdhUDtDyjdoz4+VdMyOsTZM4PuSUHfX3uOYKbRhZs7V06IP9E5RgZ27frYXgC8gt8KqIrb6H25ZSLCnaMhAQOWOWw0PlERHhlA/4BtijXfyWcXPrIV9tykns+JqIvK0rHCByTn38lNCZuGI9tHLdFY/q6WVNH2SIkIqCiiNIxcnY8vYCk+u7jjQt+I+3euOW3Jl1SYnnT7uvxvpNe6s2KdowUg6nDAprJsn8AQpCLAxy0iS1UeC5jwzeKAwlebt4oiNIxUox/xQ/IZLy/VPd6Dmzj+GPyR/P9+jGR4ojaMQIDJgX5B8L1d3z/L1RdNV7lTbuvR9vmePXfVbxjRAXth3I9E7FxGNaf4Xxw4QXR12Hh+AdeSBAyly3JcyvwFlOs+Y6nxMzgvBKTeLmvMzk0wJY5aVn0jVIVXt7ajMIx4gzyBPevyMi/BY/H8IgF5yexoWYh+F7E9dnUnGinAyZVjiFwPLEg/xw66Q3ySISYwSucKB0jgd05PuUtDLRcoGOkcsBQWpUHhtLCUFomYCgtBEGQLFgJIghiNRheH0EQa4Hw+tgSRBDEanBgBAdGKg4cGMGBERNwYARBECQLVoIIglgNVoIIglgNVoIIgliNcSUI03jkUPYwxW3H1n/rHtyZ+IVunV+YKBr2qUSRYMoRHubKKwR/GErlgkGKx+ua03ISwjESJh/p9gXT+6jWIuJyyNJY9o4Rd3TYjXYxRr7O1gnExpubZz65ezf5bnuidQmf/0rnN5I2sqnh6PZN28iTqnVi5AyRvN8T5kTCBYHAjwXxArPbbFg772+O9XT+S34a4yfE3w2KPJLoztmE+ZVS2sU08zm7+XM8Hfg69pGS+258zj2JxS3ntnb+I51Yz47bbz8m6/dXr39D3l7chqdh+Pr1u75/2x+f9rredH74weQj8m/yecamx30pKJfRYajg+pO9B1LivF0hv0Koua7d5MdwruuOPHsbDWTBzq+2fPjsEz7Jo8O6fYl5Er7/5/5kR18qdvvydfc1ywEU3OutKxdbul8cSJPlkAfubzrfl03j/lS87WCi9VMb6f9JvKr90eVL6664omyiT/Pz5AZQgEnR4Lhoyv6fn2iQ8fCJ9XCgU0a6v/rqYFNbXTajO5PDY7e0bKj/9uWzPjfaUtt9UrUOvqvCdShktu7qGiEr2GIWh6zpKvZRKLh1u2Zd/tGHx7LLSj3hH1wK5PD+WwYX198kRubIOUaG9mbYMkAs/DRjQwDJ22qfFie68++6mZWd6+yJp+uBgv1ABN+m1j6euf3Wy7gOmIb798kRRvyuN3A0++dVsQVNj21AUBHwe6xin/kNHoJlzK0ePCU6Rsjitb9eT3pI12uHHonfsOzVD3Xlw2OfugAcurLG9RVunlyV/E4byd5Mj5//2tKrawqiyHiWC+oYccoFS2MdTyM4RjKdI8+BY6TuivILwW/8OMwjqvCQ82LQU6917OsF+DkUOLJnZEIomUthaC6PVO0HjTfngd96oNQOGBGT9CA5inWMBMFzX1IouhnVsTe0UaDRMcLD26dOjpw4cTs1vxWEvlevKwbRM8IWkdS2TTuhP6Rk3twSOEaghbs0Tl6maTdwJnvFSoS0mIZqL8YBY0qQ9NhMVI4REXGfbFEwpMCunqBjJNcaTPX2PiP7NrzWhcV9rGYVKn+E40Eg1zeTx8CbKw/KREEpHCNwR6baxbGBG8ExK3dq8/3AH+0rumvRj8TKlK/n3mDdY6qIU/kGc8CIiGmSK+8w6bGVUtwoit0nb7hw3QP8wU2crVaCjpEszkkgJ1ReAdU66CtyC1FAybffYzUNEloi9zD0a0TtGAGYe+EqiOIrR3kW9yO6hjl8PVSkZ7Zt+ifTyl/ngDEhL03MacJWhU6PbUD+icoxwolin3KjAv6o5/jqGafkaNEcVi7QMRIEE8+ICqeZne8ZmWiidIzIODeM9PnMeNVstsgY99HasPKH7VUOmKgImh6b4AN7UTlGAN0+owC8I34ub3SMTBBaz4iA87hMbi9VRRmlY2T84I61YqvPcY7ErlR5gE2Y1xDfTlL7bzft6zN1wIQlaHpsIWrHCKDbZ7HAU1tfKr5k2U2ffY4tUmKlY6QU5L9nlu9QuPbC8DSVZwROpvwOITySlep1Gd7PGYVjZHpDTWq4M7lnQEi7ajtTnP6c7v+AkbqmxTW++4C7sZEDRkI+NjjfqsevoOmxAX6TjtIxsuGuj5Ne+1RVoF77erFz74u58hQ/YfIuHy0Xt6JjpGIolxdrkeiw/ZrKL0sjavh5KtvHYQRBkIkAK0EEQawGHSMIglhL9nF4CvYJYp9gxYF9gtgnaAL2CSIIgmTBShBBEKvBShBBEKvBShBBEKspuhKMMqy7V8hwvk4XAlwXOrzc8DrGYsDw+uWL1zWHOfKXOrx+qWBpnDzh9dln/zDaLEw3nz4F24th3Tn5U3UcdBGhISPoQobPJScIXRdvO8BCdWe3ixMeDVdMk9fUIR3ySGKY45ePUzW1LPddDK9faspldNgrX0PedaJxl0N4fTEPqKfOude7ksPriwQNL6/DtFCwcNyakOF1/eK61g0tq890Dv88c45cU1dN3tWFDi8GDK/vgOH1i8MrX5dDeH2OrnEiY1d4/UkURjvKMOQuGF4/MBhePxhlE14/CFaF1w8ZXj4qdCHD+V2PNN/RLbdsIgXD6wciSHpspizD62cRdRX7T/+RRoxWYlt4fR7vzCS8vA6v0Ow6VAUKTiR4UVmo7moaqttgX8UQ5Pj5cWJ4ff/02EopbhTF7lOlq9j71E9SO45cXMk2KYCVCzvC68NzvWl4eR3QZ+RGlWah2aHvyC1UUrh9+B1VyHAoyBCSHvbDw9fv2jf2MFtdEoIcv3icGF4fkdHl62IoxT5dXcWx0dVsUQGsXNgTXj9MeHk/dOH24YTSkSqfkOG8coJQ3WxRycDw+mYETY9N6PJ1uYbXN8Gq8PphwsuHRRcyHJrVcqhuiKzr50GIAgyvbw6G11czmcLrs7L1Tb8nPqvC64cLL8/eMStY7jw+qZruvGJThQzf8MD072U6ky8kxPeiDMKQB31fUAWG1ze/hhhevxCvfA35s/zC6zvX128kGcPrVxjl8mItEh22X1P5ZWlEDT9Pno/DCIIglQ5WggiCWA1WggiCWA06RhAEsZZGdIxgJ3olggMjODBiAg6MIAiCZMFKEEEQq8FKEEEQq8FKEEEQqwlUCao8FjAlR44eAiF+dmz9t26vcFdejgS+bjI4Q4LiddzFgI6R8sXrmtOyEsIxArjlxDBMnW5fML0PQtVFXd5Y+iaxY8TFmQsMYZ1gnewTgQPdtI08KToO6D5IG1FFuICLrnMkePlE5p57/RoIqCrOc6QUOU9YHkl0jx8dI+gYKRKvvA5lxVESBHOMwB7c/da2nITln9635eGXyB2En3t5dFi3LzFPQpr+3J/s6EvFbl++7r5mOQCqe70r0DGibAnCgeTCXRXGtRNxJs6nTvJoGM6k8dgtLYvrn6AbSMBEfnAk8P3TIKMkdSUEL3XXZU8y/B98IjFy5mPwifA4fPx7HR0PTWupJa+UIroNuBRU0ZhzjhGyly2iiOdrfXPsh6qgr6JjpGFK9SgNZqmJz+fuR4hsDfitl3EdI4oWohhQk8Z7I+QEFEBn/7lrnp8XklXi5Pqg6bENr7wO5UR0jECIOTiHPCCv6wXJLmO7cxnt7+2AhgLPP/Bdr5uPbl9OxCOnAoRKGYL+go7h6PHzX2Ob5OFZLqhjxCkX7LjrhHK85jqS+RM4RugXyoyi+wR5pBVeAMA3kI4vPeRVcUYBv4DLmqr72KLoQMdIYNAxEoywjhFoBYLmQdfIUOHpGJFC/M+ojr2hjQJtlWMkILw1OHLixO1BL1BYn8ixI6k1JD7/QJiw4r6gYyQQQdJjM5E4Rs5lrsmQGlJzrj9O+wMD9AkqkQK7emKTY4S7I5y//BD4KnhrMNXb+0wQD4mq8PBOWi+fiN8jdxSgY8QhLy+gYyQ00d4ohub2jsxfCo/YtFuIDJDu7W9sYSuN4Y2X3mTyHX6N4SbOViuxxjGS3w+UC4HvhXNyyAkxKm2pfCIT8cgNfRnoGJHShI6RUOjyengWnmhvrd8I/+MNEJI6uiRof6zYL8z/aL/h1TNOydGiOaxc2OMYKZZS+ESc5jdZ4hcCPArQMWJG0PTYhC6vh3aMTK95r4ZkCAwWsiWRcnY8vcBPXWGVY6RUFOMToc3v2paTUUif/EDHiDnoGFETtWMEKsiZtenfiYNdUfWPw5NbXyq+ZNlNn32OLVJilWNEBe0HknwiQR5LecUWxicCrcDB3el1seY7njKpkIqFP2qgYwQdI2Hwyuvwrl4Yxwh8b9FdLT8a7uzbk0gRp0Khyxfcmc2w9KOMbl+FjpH4CZN3+Wi5uBUdIxVDubxYi0SH7ddUflkaUeP5sjSCIIgtYCWIIIjVYCWIIIjVoGMEQRBraUTHCHaiVyI4MIIDIybgwAiCIEgWrAQRBLEarAQRBLEarAQRBLEabSUIU9So+0DyDsguC5jzONjT87w8ZxSmDPX0DD4fJM4ZdyYoXQywP40Hwet75Uap0oqOkfLFM1/zcoaOkUtGwegwXJRCL0JuzijMQyxwWZxumS06ENzIGYKLA5brUP+m42JonPruByoPAsxZXjT9xHu675lOJpdHEn1dCtJx5c/LdFAdc+676BgpNeUyOuyVryF/omPk0qIdHab+Aji5HR3TcmGwklWqzE2jTkgVIMB9GitWxDargqLKwOR+nYtB50GAifpe32O7DgU6RtAxEgVe+RNaX+gYKQ/yKkG4w9BYfYrw8DLQ1O3aPXNd+wOL2uVtaVy0eMNbX6lv3BYbG469/c6FerYqHDoPgsEjQCjQMRIYdIwEAx0j5UNeJWgc4+7soZu3bjuzuWVD62r5sROaxjwKM4/HJ580Pwq8I4YeBJ2vJDDoGAlEkPTYDDpGJo1jZOZ58e6kIn348N1pkp6niorMH/vgQvN4fEFabXKBMvUgRF0Q0THiIKYJHSPhiTZ/omMkSvIqQedO5Hh+2SIl0BdE+y+27XxS7gOij8Jk6GZ+YmnFMDbwde7cCOod8fQgsApC9b1igb4MdIxIaULHSCiiz5/oGImS/Jbg9Jr3ZpL0ZSaPr9AZ2xZPHejd+novbx3A3Q4iP9MNJLh/oljvCCB6EIJ8LyjoGDEjaHpsQpc/0TFSPuRVgpDYpubYU/CYI97Vde8X1be2bxRtcE6fYpy0JxKzchVdsgpaPX53Kp2LQcb1IDDpuun3woCOEXPQMaIGHSPO50nlGKFD9aSHdG3btDM3ugDvNtUvYR9c2PD36mc7u/bsqNl0dD69GG0FF8O54L1k5PjKeN08UjjilT1JWu+IyoPAhvS9vie/thMG/qiBjhF0jITBL3+iY6Q8wFBaGEqr4rD9msovSyNqtC9LIwiC2ARWggiCWA1WggiCWA06RhAEsZZGdIxgJ3olggMjODBiAg6MIAiCZMFKEEEQq8FKEEEQq8FKEEEQq9FWghAMoZwcI4BuDjPgta6c8DvGsKBjpHzxuuZuOQvhGAmCX74rRflhv4mOEd1cUxH1b+bmCIv7k+cFe60zQR5J9HUpSMeVPy/TQXXMue+iY6TUlMvosF++DuMYyVvuktsnfBJHhwOXrXu/9FeqMFru9a5Ax0hBAAXXMbJ+2Zf8KhN/x0hm8643j684dVvt0177gsn94GJYxT5DK/LZzoE9POCC60jIbN3VNUJWsM0oXuvCAi4Fcnj/LYOL628SY/rlHCNDezNsGSAWfpqxIYCkdMyiY4Rm1geTy5tghTDpvWA/EMG3qbWPZ26/9TKuY6Th/n1ybEIeSw7SwAsKBEYVw7BDvHyvii1oemzDK1/PrR48JTpGyOK1v6aBS1479Ej8hmWvfuiTr3llyT5qKaZsyXiWC+oYccoF+806/pvgGMl0jjwHjpG6K8ovBH/e4zAUhnJ0jHg5Ejz9CWFBx0hg0DESjLCOkagJ9DvoGBGYaMfIRIOOkUAESY/NROIYYdB8RKOz97wf5NoWVbbQMZJjIh0jbPGEg44RBzFN6BgJT1T5Wg6Jv76ZPDbQmRwyURtEkQZ0jDCgL2iiHCOXCujXQMeIlCZ0jISilPna0VyQn/mpDaJKAysX6BgBLqVjZKJAx4gZQdNjE7p8HdoxEoKoyxY6RgQuhWNkIkHHiDnoGFETtWNEBh47IYS/7ikFiLpsoWNEACrNUjtG4PWbD7dv3JJ7Jy3ft+C1LkhmUoGOkcJjg0dg1eMUOkYK8cvXYRwjhV4Q55roRngDl63HB35H12neFwTQMVJhlMuLtUh02H5NxZel2SJEAT9PitFhBEEQe8BKEEEQq8FKEEEQq0HHCIIg1tKIjhHsRK9EcGAEB0ZMwIERBEGQLFgJIghiNVgJIghiNVgJIghiNdpKEOYyDj6T2AvRXqLyYcAUnqDeEfqdROJ91dxlo3UGsfsmEuZdQMeIRXhdcwg6EtYxwvdrmsd996VZFxaWvsnnGHEjTjDnwIYHpn/vYPK5AXAUFPglDD0cXst15LaPz4GQ9H/uT3b0pWK3QzjyZbPeHdWtg/BTTvriS2DdF473xyGcly4cuTySGPTY8ud4OqiOTzwedIyUlnIZHYYKLmrHCOzB3a+jwbjz0/u2PPwSuYPwcy+PDnvtq2CdhY6RgpagG3Gio2MaxI+rntIwCo4CiAYjViLgG1BFLM55OMhetojCl69YEdtsEmTVicbiVHKQYSAgKYSKhwn6Xusgg0AEaB71umreqn6TeGsiQY8NLjyPmANxFlXHx78LaW6YUj1KA2Nq4vO5+xEiWwN+62Vcx4iihSgG56Tx3gg5AQXQ2X8ulqH4m/CXlwcCpsc2IGgFLzvwRwPqktSVEKgXnlRExwgNXAIxOllAXtf9kV3GdudCPUDxtgM8/8B3vW4+XvvyWifjWS6oY8QpF+y466CyZEFW1lxHMn8Cxwj9QpmRVwlCBWLqGAnqGwjlHZHCj8+ojr0BFcxZMuVzunXnyMefqyLpap4uuEudPU1mQxgfuqEJ6BgJDDpGghHWMeLe5BfXP8EW+eLlEfFaV4A9jpE4MfIPBPBwQEUUyjsiBZ3MQ7Puo6lfoiGjaAionp6jWzZ2/xaCSQZ6TEPHSCCCpMdmInGMnMtckyE1pOZcf5z2BwboEywaexwjOdyOV/Ynh0839XDwR8Eg3hEnPl3qJA/TD39QwdCV9U36dVmc75JXSDo9T4y7FgTTYwO4awMdI5e+P7BcifZGMTS3d2T+UnjE7uh4aFoLGSDd29/YwlaWFFYu7HGMQH+ae6KhUpGA530TD0cY74gslIE/2m9x9YxT1VXV7+nWXXtheNr2jd3/Cf0csJym/XTf7KAjX6bHBoh9Y+gYQWQg/0TrGFl4or21fiP8jzcq/CK3RwUrF+gYEfHzcMAdMKx3RObseHqBrm+Pr6OP9LUtJ3k6iskk6BgxI2h6bAIqCjr6GpVjJFtGa0iG+MnQSknFO0Z4f5rpe2x+Ho5ivCMi0FqE116WNVX3sUUuBevGhm8UB168+te8QMeIOegYUaPze/DulqCOEcjDM2vTvxMHu45RrcX8Aq1Fqah4xwg8Aic21CwEb4jolqDvN9EBk/yKnLe0dB4O5wKF84482zmwJ9enl3u/ymsdoa/EJF7u60wODTgrs8B7b4u+YVKJifgdG4f2jaFjBB0jEpBPo3aMwPcW3dXyo+HOvj2JFHEqFLp8wZ3ZDEs/ynjtCx0j2RoNQ2lhKK1Kw/ZrKr8sjajRviyNIAhiE1gJIghiNVgJIghiNegYQRDEWhrRMYKd6JUIDozgwIgJODCCIAiSBStBBEGsBitBBEGsBitBBEGspqASnEhXBUwr0jlC3DBeinXu9yYqjlqE8ONCx4g9eF1zCDBSlGPEMDqScRoiDHfFfnPyOUZgnqHoqgDgYHisPBE+jzSob8KNrKFwhCyafuI96k+Itx1gfoIDTgAGZ26w81tm/hAT5JFE91jQMYKOkSKBysXJv9E6RrzWAeLocKg03JNYtaphSl55d6+3DY4RFTyuIP9zfATxE2JEFzh4cb2Xb8LLEQIT/amXIecnWM1jHMIFLdYfYgI6RtAxEgVuXmbnKCrHSBAvSKg07H/9B6oWoRWOEROcE5f+cfzelT+AiogtzsPIN6FxhPg93hbtDzEBHSOBMbrmiEtYxwgQyAvigWcaCCl8LLbBMWICHHA63vay7iJAa80ojLiXP4QBFS6EzCLNd3TDnQruKkX7Q0xAx0gggqTHZiJxjBRJUWmw0TEiA4Wc9sex0N4iQXwTnv6QLHDiYOCD+QmqxRZiFP4QE9Ax4iCmCR0j4SmHG0UUaah4x4gX/ATqHoN5/5DsmwjqD4FCDwUXPBx0f8zZsWvf2MOQhu0R+ENMgFYnOkakNKFjJBSQf6J1jAQnqjSwclHBjhEPuPDZry/CfexjgxXF+kN4ZQR+gij9ISagY8SMoOmxCago6EhuVI6REIRKAyHaNFS0Y0SH8xgcu91U+BzUNyE6QqAZLfsJIES5W0FG5A8xAR0j5qBjRE3UjpEwBEpDtmWn8oaIVLxjBKB9Pa5XIjb+5S/D0He6eiDP25FF8c4Q4OebgJOi9YdMryGZzuQLCfG9Jte9sIpE5Q8xAR0jhccGj8Cqxyl0jBTCb+BRO0YKvCDCOrkcFJMGHegYqTDK5cVaJDpsv6biy9JsEaIg0MvSCIIglQpWggiCWA1WggiCWA06RhAEsZZGdIxgJ3olggMjODBiAg6MIAiCZMFKEEEQq8FKEEEQq8FKEEEQqwlVCUI0F+okSPS8H+VcUZji4+UOoc6CCHwLlxKazgQ6RmzC65q7ZSlEng+Kbl9uuYu4/LDjnpyOEZ1XAi4Y9xXAspVkJ3Fi6OXm/sL2YfwTznfU7hA3CkYI34If8kiir0uB/RY/HtNjzX0XHSOlplxGh8XywhZlKc4xUjjvniFsI48O6/Yl5klIE3f9LF93X7McANW93rpyUWmOETiQXPirnFeChtOqbTn5UEfHNFgGjg8a0w8CpPaPdtAvM8R9QKxAL/8EZBYvd0hUvgVT0DGCjpEogKAVUTtGWJw+GmsT/pzyR17xij6j25fO9XP0+PmvsU3ysN4xAhXV0RRZIoeON4npZ+Kf8HKHTIRvIQ90jATGJD1IjmIcIyK8IhOlZzKe+9K5flRRoK13jJzLXHOGxD5Wxb9zvASOEY4tcoHK0y+kNw/zRMM2ldIdYgo6RgIRJD02UwrHyLEjqTUkPv9A6PNu4Ppxsckxwt0R9I8VWNWdywu+D1P/xES5Q0xBx4iDKi+wVaHSYyuluFFABbM/FbvFNNixjFPm9K4fFdY4RvL6gVi/lVdrTwXfh4lzBDLI9glyh5gCrVN0jKjzAlsVOj22AfmnFI4Rx/y49JDqxmyC2C/M/2i/Ibh+NJGlWbmw0zEC0WJnkvRlcn8A4HgJGtPXzZo6yha5uI+BbJBD5RyZaHeIKegYMSNoemyCjpzCCGzEjhHnMZQs0d2Yw6Jz/YhY6RgB4ECammNPya0Xr34wjpF/YgLdIaagY8QcdIyoCeT3COAYoY+hQsMhClzXz02ffY4tUmKhY8R57IFmPLTi2sYTC/IdH7l3x9jHAvz8E84rMXp3SP47aeF9C0HhLVJ0jKBjJAxOn130jpFrLwxPG9ydXhdrvuMpkzyu29eGuz5Ovti598U814/Bu3y0XNyKjpGKoVxerEWiw/ZrKr8sjajxfFkaQRDEFrASRBDEarASRBDEatAxgiCItTSiYwQ70SsRHBjBgRETcGAEQRAkC1aCCIJYDVaCCIJYDVaCCIJYjbYShAna1H0gRXKRXRYw53Gwp+d5ec4oDaXTM/i8X9w8EeYk8PRvwBQgXbQSr3XlgskxhgEdI+WL1zV3y1lYrw5EYzKIT2mchgjDXbHfnHyOETghhV6E3JxRqGgKXBanW2aLc3XdyBmCiwOW61D/Zr63BHCcDOmfquYGe63zQh5JdOdZomMEHSNF4pevwzhGYA/ufkF1kV3+6X1bHn6J3EH4uRdHh0Ol4Z7EqlUNU/LmmLvX2wbHiOgRyYW8SlapMjeNOiFVgAD3aaxYEdus8m3IwOR+nYuBbUJbli/trrm7vT3+IFvk4rUuDOgYQcdIFHjlayfPBneMALSMxtsO8PwD39XdfEKlYf/rP1C1CK1wjMBdQ+URUQFN3a7dM9e1P7CoXd6WxkWLN7z1lfrGbbGx4ZgYIiss3GPwhYuFka291oUCHSOBQcdIMMI6RqCMUilZyGjSIp5pIKTwsdgGx4hxjLuzh27euu3MZm6HY0sp0DTmUZh5PD75pPkhuhjgM1S40OJccVvt03QDAa91oUHHSCCCpMdmInGMnMtckyE1pOZcf5z2Bxr2CXKKSoM9jpGZ5/08IunDh+9Ok/Q8VVRk/tgHJ5nH4zN5JObIBQoq1UOvpR5RVSxe64oFHSMOYprkwhYmPbYS7Y1iaG7vyPyl8HhLVRRkgHRvf2MLW6klijRUvGPE1CMCfUG072DbziflPiD6KEyGbubyFloxjA18nTs3oB/RLVTMMUK/mAUqNdnFMLZv18MQmlz1aOC1rligLwMdI1Ka0DESClW+Lo6FJ9pb6zfC/0xVFFGlgZWLCnaMeHhEZGiU6XjqQO/W13t56wDuNBDxlm4g4eUYgeVwQulomORiAOcBSfXdxytOXql2b9zy25feSj+kWxfF4x86RswImh6b0OVrsf+PLTJzjGTLaA3JEFPhGRAqDYRo01DRjhFIrOMR6fqpeFen7/so3lWqb23fCK2eXfvGHobPTp9inLQnErNyFV2yClo9fncqnYsBHiEL9gWvDHR8/y/Wrk3O161TPbYGBR0j5qBjRE3UjhGoIGfWpn8nDnb5uYcDpSHbslN5Q0Qq3jFCh8lJD+natmknHZWgwHtF9UvYBxc2/L362c6uPTtqNh2dTy9GW8HFcE52Lxk5vjJeN48UjnhlT5KXiyHq/j5T0DFSeGzwCKx6nELHSCF++TqsY2TRXS0/Gu7s25NIEadCocsX3JnNsPSjSDFp0IGOkQqjXF6sRaLD9msqvizNFiEKtC9LIwiC2ARWggiCWA1WggiCWA06RhAEsZZGdIxgJ3olggMjODBiAg6MIAiCZMFKEEEQq8FKEEEQq8FKEEEQq9FWghAMoRwdI17AVKPJEMkkzLkxhV6PZxJ7vc6je20TPe/jXN/S45Wv3WuhiQmom7cP8P2axBN0t9XsqxSw30THiG6uqYj6Nx0Pwtxzr1/zbOfAnrQw55YizSsud8cIR3duxOV0wzz8nR9538+egw0PTP/eweRzA3BO+TbieYZlK8lO4sRALPS5TGbKZXTYK1/DuZ5Qx0i87QDzfWTTA0FOfMrWvV/6KzEwgm+5mMSOkYJKUFWpicB6XgnSizjSuELeFlo6z3aeefovV2R+tevNxhuDVEqA8/2BPTPv3fRdOVYgzxwgC+IXnf/esvaq7t5/rfl2kN9TVYL7q778GXL49E2NG+7/thiNhv9OzcKh85mr1g/A74vnA7bRnROOybnhGRcClYrHL/+WiN91A1TbuIVNCrM0mSmXSlBGzNet1YdOPds5/HMxj4l558PtG7ccbdi0vSmzdb6cn+h1JG1Ed73ESpAtcnHSkP+7HF6ZDX/RydtsMYXmvQDlgq2iwPr/0zny3Lx17W3lFF2an6e8x2EofOXqGOE4oaric5Y1VfexRZPIMVKac2Ny3XTbmAblRKKlHBwjMrRspeNzl9302efYonzQMSIwwY4RETl2GlTGk8ExAkRxblTwOI6q8+VyLnPNGRL7WHVtTSOKI8VxqR0jvCVKmu/oVsXbdMuW7pEVHSM5JtIxwhZT4ITuT8Vu4XdBqFQmk2Ok2HMD8N/yyvxuJzj7g8EiVcsDmTi88nVwgjlGoNz0JBLvM99HtSrPyWVLBysX6BiBzs+JcoyIQLM7HV96iJ/wyeYY8Ts3Joi/xZ0f8nWrmreq3y0gteQVWIatvUuHX74OTjDHCPfaiPmTR4PnyGVLBysX6BgBJsoxwnGa3WSJeMK9/CNRvPoRpWPE5NyExuS6eWzjeCUa09fNmjrKFiERocvXE+kYEeE3d/B9sEXKsuUFOkYEJsIxwqHN7tqWk2JF5OUf8bujmRClY6SYc+MHXDcIkw7XTfduYO7a5hvu/PoxkeK41I4ReCyVfR8Qbh98H2yRsmx5gY4RAShYE+EYufbC8DRoRcWa73hqIgsqf9SIwjHiZNTg50ZG/i3+riE8Aic21CyEayGup9eODphUOa338cSCvs7k0ABbC/B309hHJCL88vVEOEaY7+OFhPiuovA7/AklSNmi5QIdI5VDub5ThoTH9mvq9Z4gkkP5niCCIIhtYCWIIIjVYCWIIIjVoGMEQRBraQTHSDJZfqM1CIIgEwMh/x//rMXMp1pMagAAAABJRU5ErkJggg==">
          <a:extLst>
            <a:ext uri="{FF2B5EF4-FFF2-40B4-BE49-F238E27FC236}">
              <a16:creationId xmlns:a16="http://schemas.microsoft.com/office/drawing/2014/main" id="{00000000-0008-0000-0300-0000021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xdr:row>
      <xdr:rowOff>0</xdr:rowOff>
    </xdr:from>
    <xdr:to>
      <xdr:col>0</xdr:col>
      <xdr:colOff>304800</xdr:colOff>
      <xdr:row>3</xdr:row>
      <xdr:rowOff>121920</xdr:rowOff>
    </xdr:to>
    <xdr:sp macro="" textlink="">
      <xdr:nvSpPr>
        <xdr:cNvPr id="4099" name="AutoShape 3" descr="data:image/png;base64,iVBORw0KGgoAAAANSUhEUgAAAUEAAAGRCAYAAAD7MAEeAAAAAXNSR0IArs4c6QAAAARnQU1BAACxjwv8YQUAAAAJcEhZcwAADsQAAA7EAZUrDhsAAFKXSURBVHhe7Z1xcBTHmehbxJUYJ8QFsrANWtdBJFCsM7HZOFgPcIhD9EQssM8HcSyfnJSN7QqhiN+7pEzq/lj2qlKW34VXtkr4yrLwu4sOOS6c+BnkQgWYswOccB2r3NknGRCBlFfYhrWgiP2Ckzj47dfTPdvb2z3TMzsrVtvfr0oFOzM72zPT3dPTPf39qv7rv/7rE4IgCGIhjY2NU2gl+Itf/KKKLbOOv/7rv7b6+CsR269p9vgvZgv3p/7+7/8eGzge8PM0hX1GEASxEqwEEQSxGqwEEQSxGqwEK5TMwZ6/Tew4+s/sI4IgGiKtBC8eGbx1cPziTewj+cxnTn1usKfneXFZlFy8ePzaHYnEbxKJnvdL9RulxO98BV3Pge2Oj6RXxBvmbWeLQnFxfPCmnp7B50995jOfY4tcdL8ddHmpOboj8c87jn3Syj66lDpvThbk6+J3nXR5wus8H+rp+Tnf5/jBHWtV+x8/ePBbxy9evNb5v/82wCfHdrQmEomLPQczP2SLQlFQCcLBZHf8ifiX/ZG/ZauV6/nBjx4beGD4yPhtdMMsb2zv3jLwSWP1dbOmjsJn/l1xfzQzPpPY6/cb4npe+SWTve+Qezf9YNO9M7870JkcSiR2/EY8SWFwf1vRiuJpFdPjdT78jsPvfAVdz7nwztv1w2MLP3993Scp+Bz0mABY/vovB/4hnR741q59Yw+zxS663w66vNTMqI69kXrt0CNyof3ozdSygfTML9dMJ+/B5zDnqNwR01345zQc5OvidZ1onnhx4H+p8oR7nn//+2lsEQXO8670zJtrpn50Gr5/7K3U3fL+neW7Hxw5XhU33WawJ7Fn0zby5Jq/W9fQ+FbXf088M7hX/m1TlC3BWPP6HyaTySr4W98c+2F69+A6sXIR18PfqnlV/WyVCzyO9Z1umf3Q+mV3zv7DHz5ki0ltbe2/pXe/9GOvuw3glYbR/t6OVG3LyYc6OqbBb1fNW9Xf0fHQtJba1Mne/tEOuoMiiH35y8/HUvtvkdPIK5eFC8letojidT78ziVHd744futFRg8OPJKON7xVN2XKu2xR4GPiy1esiG1OjxxfoWoNTgaqGxr3xcaGY2+/c6GeLaIcO5JaQ+LzDxRzjsqdP/xh9odNDyaXQ95LJNpnxQk5Eb9300onP669qql6yq/ZpkbQ85BeeKWbJ4RKh5/nEx9clneeR4+kVsN57n38cfc8F4uTjvjn2x9dvvQvP331saa1yW8kH2xaPvuKKz5gmwTC93H4qpqZR9l/jYFmatfumevaH1jULhfYquvv/GVbPP3ywMHRR9giX8Q0QCvwaIosiX/1lifEfcMFv+Wr8SdI6uiSYluD5Kr5bzXWptPy3QgqF9L8355vqCLvsEWB0J1Lr/MF+K0XgfNzJBX7Ysvi+ifYIoeAxzR+ZPg2qEi/Ut+4TVWJTBamzrpuVD5uNw/J3QUluu6VQkGeuHB5HVvlnOdY+u2jx89/jS1iedE5z9mKN+J3FlNzR96+PFuvF49nJQgHsXNb6slYc9NT4h3Tk7OHbt667czmlg2tq3XfqV/c8oTqjquiIA3nMtecIbGPa6o/OcU2cfmkuuZUjJz5OHOOXMMWhePidFqhiq02Xrk0NlTvo9sERHsu/c6XwfkUqTo+Eh+qbfwdf2R2CXBM8LjB+xRVlchkAm6OddfHdomtWThHKRInvLvApQTXvVKgeeKtdIubJ7IVnpgn6Hn+YmxAbCGy81x1fe2FIbpRREypbvr1rXHycuq55I5iHoM5ykowvbvrp9BvwPvc1i6u2cxWUfh6+geJEB6V0ocP350m6XmZ8arZbFEBcBBL4+lDA798/R/e+ehy5WOWLg1V45nZaTLzMt6XUyo+qbs+FScpAn0Q8Hl88NW2ofjSt1SPEJ7nw+9c+pwvk/MpAo95sevrdilblIbHxB//oJLgLexKeiRWPQpzglx3m+CPwlCh0Txxa/xJ1SPxdWMjtfyRuBSPwpx5q5LfTWxoWRgbG/hS9+OP/66niMERzz5B+JEz2zb9kzzqk9cHBs/iQoGDddD3ldq280mvx1LaGhwbuHFwlCxji/LQpSGy1p4PU6bUvTs/Tg6kjhxbI7aM2Oo8/M6H6jg4fufL9HwCfq0W02Oijz1k6ObeZPIdqMA3bUvtJGMDX0+9+ZHyWpU7/KYLLRd+jgq6CxhBrrtNuHni8cdP5eWJty9384Rznt8+BI/E/DwvXzTnyWz+L8n0Pfi9tclkzaZ74yvTu196dP/pPy5kqwLh+TjsHFS22ZnNEGyRETWL125ui6cO9G59vVfXeoB939Ece+zff3Xgf56pIp9niwsoSMP0mvdmkvRlqsczeqFqG9MFj4Ih4Y/t+/al/scAaSHxGy5/la0KjNe59DtfJucToK0W1aOwgN8xQeYd3J1exz7mETQflBPzGuLboeVy7viRrxZ7jmyD5YnvsY95pI6Nrmb/pdQ3xF/g5zlV2/jB3Gkfu+cZWpDVM8mp9PjZBdmK1J3bfeHChWmZNJkD//fd5uInBXPCndZ7+vy5c5cZPS3J+A6MQOYhqf23m/TfidS3tm+Mjw3MUb1ewaluWtYXTw9VD6XJzWyREjENcKduao49JY8wO4MH6Z/KAybFwPvDdu9O/b3uETMIXufS73z5reetFr90+h0T7y9rTyRmua3b7B/cbSMZdLpEQEFZODb8+Rd/9e/JYs+RbfC+vfZHH52tzBO///0stqlTIY0NT3PPszRiC5Vktgx8c/m6v3PLANy8xb5Dz22u+yglv0fopC925fTpHxeME5jgWwlefkP81Zba9H+ILa+8PrDsn+rdKaisWje0rCa7u34sPwJyYJuV98Z/wD5qkdPgtIzSLzvvBjppgOY5DP+rXtcJC+8Pyz6Ujnt1jJucD0B1Ljl+58tvPe/HW9ZU3ccWKfE7Jl1/mdxXBuQfd+6Fdd3ySwmcv4Z4+q10OlbtN8hhet0rFfn6bf1VajPNE1dckTc6zvLEJyNjU93HUPE8z6+78l/ZYhd4nW19M+nY+9RPUvw36JsPjy5fyvcvbHNYtc30hprUcGdyN19Hy/4999+/9OpPhxqAwVBaFRJ2Cd4j7BpfuiC5av532CJrwVBaGErLBAylVUFgBz6ChAcrwQoAHt9gZkCUXQEIYgtYCSIIYjXoGEEQxFrQMZLF9k70SgQHRnBgxAQcGEEQBMmClSCCIFaDlSCCIFaDlSCCIFajrQRh0jT1d0jhxmUHAbyoq3I1ePkpdDBngHLaGd1fIvG+Kvw5/55qXbnhdYzFcKkcHog/nvmalzMpBBuHfleTr918r/mujG5fXmWrGFj6LsJ+s/+W7UBVwegwXJT+ZO+BFCFz2SIKhHSCWHjgYthfvf4NHhcPPsth36FifLWr+/8OjJGv8+/Bch3q34yfaE+0Lmmc+u4Hzr7ic+Dzn/uTHX2p2O0tG+7/xqLpJ96j34u3HUi0fmqjsw+Y/N+6xCQAKSCPJNLjSZH7SLztZ/IUNNVxudsLqI459934nHsSi1vObe38R4hQws+b335M1hdcl+z24jY8DcPXr9/1/dv++DQ/FliXT2wczu+Mg8lH5N/k87NNj/tSUC6jw175GvInneq4m/wYznXdkWdvowFA2PkV8xqpbXlFLF/ufkExkV3+6X1bHn6J3EH4uZdHh3X7EvOkWLaWr7uvWZ6H615vXbnY0v3iQJoshzxwf9P5vmz69mfL5UFWLvc7ARhy84PLAe3osOjvECNGqDK3znvBJ/Ob+ilg0vWqZPIL/LdosESSuhIm61MhDrtIkHHmr0p+B4InQBAC93vZi8IDDEQRa7AYxwj1iCiOmX8XjqNhSvUodT9oYg+6+5F8JH7rZbx8LnyWCezLyz8h/ib8hfGn2IpXvobW10u7yUNQAcK5hqAgNG4kk0KBVCvz1U1PwDK2OxdaRrM3fp5/4LteNx/dvnRlSwyRL+JZLtILr+Tlgh13nVAu11xHMn9694PLShoDNCx5lSDcYVT+DhXQ1NV5LyL3U9TWnJw6daobkgfMViaVa2hK5poYmitGYfHCz+1i4n4J43MJSxgXjc2oIqTTcziWmQOx86BCUk2DhDLqFRRWhW5fFF3ZUoWsr1AHS14lyONyqfwdeXh4L6BpzCfzh/VTOBkkft51QLCMQf+vAe6sz3YO7CHNd3QXHQo9pGvCuTGoYxq6QVW3bdpp0ofzfubMfDmDciAtpu6XID6XsARJj82I+Vp1fZ2o6Z+Ms49qzmWuyZAaUnOuP077AwP0CSoxKFsuYrlgMQSdhlOsQVcuWLnc/UnzqmfChroqNYqBkZnn/fwdXt4L/tgX1k8hFygnBl/qJA/1Dn9Q0bDN3U7dZOfAUJqQ6qhaiHL8PC/XBI+/RkOOZ1F5bgG4I9NHorGBG7s3bvxA7igX47jRvqK7Fv1IrEz5ep2vRIVT+Xr7XLzIiy0X0J+C5Ij2RjE0t3dk/lJ4xKaqWTJAure/sYWtNMavbKmQYwjSYKfxpUfkcsHKZYaVy6u0rcsyIK8SNPV3QF8Q7b9QeC/8/BTQj8hPuCxLh1bk61t7e6G/gxcose+K/9G+jatnnIIKAgr52mTyKtrnAn1bPtGsTYG+jDCOEZ4GnY+Dp5d5EfL66/L73wq9sHy9zleiw8/n4kVemgL6UxAHVb4ujoUn2lvrN8L/3ACwIaJ+e5YtjcOXlYuDbrlgBjq22oXl8xqaP5wy8Re7fv3/HmKry4r8lqCHv0NG5b2Au52fnwK+lzvpq77A74pwQulI1dVtp/wCg54dTy+IVc94g3104RUX+AnYoqII45qAx5uaWnLyTOb9+WyREueOmj5vapETcR+tDZ0fsL2JzyUsQdNjE7p8Lfb/sUXMkTPzd6ouEJdsGa0hGVIq0ZiubInklYtPWqritRdeY6uUQLlsYOUy2/gpu1dl8ipBSKzj7+j6qXhX171fJHsvivFTwAgWfWVkzYLvs0VK6Ih0Kr4EwshDk3vwyMVb2SraBN+fIrf7XURTwrgmnBG32I1yH4nOi+Db/6ohqPvF1OcSlrAumkpHl695d8urg+Nt8Jk/bfj6T7IV5Mza9O/EwS4vhWgQ3LJ102efY4uU0HIRS7/tlgup1agql79i5TJbH5RdUIfL2L8udKie9JCubZt25szU8G5T/RL2wQUqTXgt5dnOrj07ajYdnU8vRpvGT9FLRo6vjNfNI4UjXqzyImSgunvjQO6E1ra8suGuj5Mvdu59Efr7nIW596wuTs/eEzuTLyTE97DgPaaI+qb4o8bAtjMFlZoI7RvbTdy+FHjVpKm6Ku9RlnkR9gy4x6HezhSnP6eb+kqaFtf47gOuFfhcUqzf0hT52OARWPVIFzQ9NuCVr+G1Mrgem7Z17XTPr5B389/DTBP6ffa9RXe1/Gi4s29PIkWcCoUuX3BnNsPSjzK6fSnLlsG7fLRc3Bp/MlsublJ5RKC1mi2X27Pl8gtsCT02srvrf5PFSbagfMBQWhhKq+Kw/ZrKL0sjarQvSyMIgtgEVoIIglgNVoIIglgNOkYQBLGWRnSMYCd6JYIDIzgwYgIOjCAIgmTBShBBEKvBShBBEKvBShBBEKvRVoIQDIG6DxI976vmg8pzYTnjBw9+S5wjDPMRSxldxE1nMTHVJhDmXUDHiEV4XXO//Kubtx+GKPdlAjvuye0YgbmtK8lO4sTJy83Z5ZExwFUhziPlyyGUN49kC/MWRfeFjBtlI8914fzW3HOvXwOBUnNzGxlsDiW4FXSOBralL/JIoq9LgaWVz6HNn5fpoJpfm/suOkZKTbmMDotliS3KkitH0EAI6hjxKi98zr48Ohx4X4r5w+71rkDHSEEABdcxsn7Zl5xoFqtIR0d8Gpys3v75HX5hrsKirLyqm95dm2y6in0SCnHdrmvfebX+WcHRQBav/TUN/PDaoUfiNyx71SsShx/gUiCH998yuLj+JjGmX84xMrQ3w5YBYuGnGRsCSN5W+7SYBtExQjPrg8nlTbBCmPResB+I4NvU2sczt996Gdcx0nD/Pjk2IY8lB2nghRUCo4rXAOLle1VsQdNjGxC0Ahwjq9hnCKgAN3UIJDK3evCU6BiR8++H3AuS2bqra4SsYLtwCXKzdx0jRe7Ls1xQx4hTLthx1/HjBsdIpnPkOXCM1F1RfiH48x6HoTCoHCPFBG6MEi6GgTBafo4Gtigc6BgJjEl6kBxhHSNhiGxfNjhGwF9whsQ+VsW4M406HRbq3qDRptV9kIAYNy20o8EEdIwEIkh6bCYSxwjDpLyYIu5r/+k/0rD5SmxwjKjuTqVGDvG9vpk8NtCZHJIHU5zYbLFbgli2igEdIw5imtAxEp6obhSm5cUE1b72PvWT1I4jF1eyTQpAx0iRQL+RW6AkvwjHCdtPfiaHaocmdzq+9JCqEioF0K+BjhEpTegYCQXkn2gdIzl05SUM7r6Oja5miwpg5cJOx4jjP2hMXzdr6ijcQWZcTU7JLg/oy8iMkTnsYwE6v4gfTpObLBFPtqr/z8jREAB0jJgRND02wQfzInOMlAGWOEbyWyiqvi6VU4I2jUmccF8wZICzp0mgQs5DkosVHt1vbctJsRIK62gIAjpGzEHHiJqoHSMyqvISFravb/rtywrHSNt4YkFfZ3JogC0D5GH0qnmr+tc39zzWlbcde7+PnCA7Er2/cd6Pyi57oLqPbVAAnCD5XUB4zOK/Ba1AMNjFmu94SswcUGF7ORqigI+Ko2MEHSNh4BVUlI6RQi9IfnlREeW+AFoubkXHSMVQLi/WItFh+zWVX5ZG1PDzlN8niCAIYhlYCSIIYjVYCSIIYjXoGEEQxFoa0TGCneiVCA6M4MCICTgwgiAIkgUrQQRBrAYrQQRBrAYrQQRBrCZ0JSg7LeTPMBdysKfn+WLmksKUOZ1/gfkLPplIZ0IU8HSjY8QevK65Vx4H6HcVeTxMPtLtC6b39SQS70ddllgaJ59jxM9NwZfBdrLTosBxcbplNvcZwDIR1ZxhCptXqfOHtNb9JkW9DfG2A8xfcACCNoiOhSDII4nuPEt0jKBjpEiggnPyZ3SOEb99wid5dFi3LzFPwvf/3J/s6EvFbl++7r5mOQCqe70r0DGibAm6boqQLQu4uF4VIMDj6vHQWh0dD01rqSWvQFQK8IeI/gUI6rC+OfZDCFb67tTGD8DbABcCggK0bmhZHXUMRHApqKIx5xwjZC9bRIELz48D0kkDSEp3ddEx0jClepQGs9TE53P3I0S2BvzWy3hdRzGgJo33RsgJKIDO/nOxDMXfhD9xcn3Q9NgG5E+aV9k5ogF1SepKCNQLjQBdHoe843pBssvY7ihe+2SbFKDbF9dV8AoUgv6CjuHo8fNfY5vk4VkuqGPEKRcsjXVCGV1zHcn8CRwj9AtlhrISLMZNAU3grt0z17U/sKhdVwGqmDB/iAnoGAmMSXqQHGXjGJFC/M+ojr2hjQJthWNEIJSb4uyhm7duO7O5ZUPr6qCPpmH8IfyRmjTf0R1pxGl0jAQiSHpsJkrHCEfcJ1sUjCANCxscIyJOoQ3mpkgfPnx3mqTnBY2WDCcqiD8EtoeOXOYvqFY9fhYLOkYcxDShYyQ8pbhRFLtPJwZk6mRvMvkOv8ZwE2erlVS8Y0QmqJsC+ohov8a2nU+KfUN+bpGg/hCxP5E7PXbtG3uYrY4E6MtAx4iUJnSMhALyT9SOkSj2KYuW4I/2G14945QcLZrDykUFO0Yk4ECCuikcWUvqQO/W13t5q8HLLeI0p8P7Q3hlJftOoiDPpYCOES1B02MTdOQURmAjdIzo9hkFZ8fTCyAMPvuoJK9cVJpjREUYN0V9a/tG09ZZUH8IjBzL/gIIYe534cKAjhFz0DGiphSOEd0+i4W+1ZGKL1l202efY4uUVLxjRAZq8aBuCvgOvLrybGfXnh01m47qRqagFRjUH3Lx4vlrM53JFxLie1KCmyFK0DFSeGzwCKx6/ELHSCH8Bh21Y8Rrn6oK1Gtf+Y6R+AmTd/nQMVJhlMuLtUh02H5N5ZelETWeL0sjCILYAlaCCIJYDVaCCIJYDTpGEASxlkZ0jGAneiWCAyM4MGICDowgCIJkwUoQQRCrwUoQQRCrwUoQQRCrCVUJwnQ36kVI9LzvNVeUhtPpGXw+SJgr7k5QuhD47xrE4ytX+PGhY8QevK65X56m39W4P7zWqQi6fbGw4568jhH2kcK9B3DBuN8Alq0kO4kTQy/fcQC4kS4EHwdbpcTdt8YdovMxtFYfOuXlKvGbjC6PJPq6FKRjUp0v1fHmvouOkVJTLqPDYnlhi7IU5xiBPXitA+TRYd32ectd1POH3eutKxeT2DGiDKCgy8yj/b0dEPElexK/5Jz0VaSjIz4NTmRv//wO8eRwp8aKFZnNu948vuLUbbVPixdKBib4gzthFfsMARjOdA7/HNwhc8ngNaKPgSxe++v1pId0vXbokXj2gq5NNl3FviYUdLOoLyrApUAO779lcHH9TWJMv5xjZGhvhi0DxPNFMzYEkJSOV3SM0JvFg8nlTbDiD3+g64GC/UAE36bWPn5z8Vsv4zpGGu7fJ8cm5LHkIA28sEJgVDHYBcTL1+UFIGh6bEPO0/BkBDfskeMr43OrB09p8/QNy179kHtBMlt3dY2QFWwXFNcZolinwm97XvGyj1o8ywV1jDjlgh13nVCW12Q6R54Dx0jdFeUXgt/4cRgKCo37J4WO55FWSOroEjFYKo2NFm946yv1jdtiY8Oxt9+5UM9WBSaIc0R0lbBFwUHHSGBM0oPkKMYxEtQ/EpmvxDbHSAHnMtecIbGPVfHvHDdCzvgGrTEeiZnH5JNPnBf8jsndIUF8DKKrhC0KDjpGAhEkPTZTCsdIFNA8SaO+97y///Qfadh8JTY5RlReCdWdSwd/9IOLzVuKJh4QOpBShDsEvh/EVeIFOkYcVHmBrQqVHlspxxsF7xLhUd/XN5PH9j71k9SOIxdXsk0KsMYxAn09bjh85pWQW3te0EdhMnQzF7jQymFs4OvcuwH9R27BEpwjUGCLcYcEdZV4Af0a6BhR5wW2KnR6bAPyT9SOkVLgqDHIz1LHRlezRQWwcmGPYySP6TXvzSTpy1SPtY4boTF93aypo3DHg2jRbFUe3EHh5Rzh8EoIvASq/j/Zx+A0y/NdJcWCjhEzgqbHJvhAXZSOkUuNdY4RDhxIU3PsKbn1IveDOe4MeLUlMStX0SWroOUjD56IQPNZ5w4x8TGoXCXFgo4Rc9AxoqYUjpFSwcrcN/0aElY4Rmhfj8IrQZvL44kFfZ3JoQG2DhCH2J2BibaCgQnnovcSeD2gbh4pHKlyvAQad0gN8fIx8Nan7CopFt6fiY4RdIyEgd/Io3SMwPc+3L5xi26dKv/r9lXoGHGur99IMi0Xt6JjpGIolxdrkeiw/ZrKL0sjavh5Mu8TRBAEqUCwEkQQxGqwEkQQxGrQMYIgiLU0omMEO9ErERwYwYERE3BgBEEQJAtWggiCWA1WggiCWA1WggiCWE3JKkGIFGMaVUTnPmCOgrLxjcjzfznjBw9+S5wTzdOt84i4afdxtCCVgVd+8MvHurIRFK+yxIHpdVFGAmK/WfaOkYJKEE4EPVnuX66g8nXixYSJ34PPJPbKF/jseHqBXyQV/l0aauv02dk8E/CMsenI/DU0DE+qb4kYcgsq2GTy1TdrNiRWr79+eBfE5ovq4umOH9J6bCT1bTmKjrN890MQdzB3POTJexIb5jWOdK0QMzc/Lh5/b9O9M7870JkcEo8NqRzcfMzmazvxF83ysbZsjDsxN/PzaPZPU4n6lSUOpAXmF9NYmIq4f265UFSiNK09iT2wHuoB9pvH2W/Ozv7mYkLix3kg1nJD2RLMiyEnxbVzvRURtGBc90Fz7IdsEQUm+4ObAUIPwf/BN8JjGUImEN0MENQBvq8LZBoGr+P3QvSINEypHqUBK4UYfK6jpaNjGkxSr5q3qr+j46FpLbWpk739ox10J0jF4OZjlpdoQF2SuhJumH75WFs2WDxKvk8n/5BXdNFnvMoS24RWrC/trrm7vT3+IFukBBwjqijlOccI2Quf2W/WCb+55jqS+RM4RugXyozAj8NReivCuA+C+EYuDWqPCNwdgzhakMqmGMeISBROHe4I+cJFn6jx1jtGBCbCW8GBu1RY38hE4wYXVXlEAjhakMqkFI6RIE4duSzBMui36zvdMnvFbbVP0428sNYxoug/cAp7eG+FCXDyivGNFIPf8Xuh84gEcbQglQdUFlE7RqCMmDh1dGUJ+vIOvZZ6RCUG02GnY0QT/j6It0LnFPFC7Pvg3o4gvpFiMDl+L3jaRY8ItvbsBSqbUjhGTJ06urI0tm/XwxD2P0iXFPTx2esYkYCDNPVWmDhFvGAn3tg3Ugqg727G1eQUpIEtokA6MmNkDvuYR55HxNDRwhYhFQJUFKVwjLh9zAGdOmJZgjc4SKrvPt5A4UK07sf7TnqpN611jKjQeSvgwp89TQILhDjQlC7GN1IqVB4N+jhA4gT6ebw8IpARTBwtbDFSIZTKMWLq1PEqS9B1k2ucMA8QhOl/tG2OV/+dFY4RU6Bgi94KuDv1J3sPpKgnJH6i/QHvESt490jpPnhg+vfC+kZKCbzSsr6557GuPMdK9jgTrUugdXvRxyNi4mhBKgde4UTtGLn2wvA0Y6eOp7snHOgYqTAwlFblgaG0MJSWCRhKC0EQJAtWggiCWA1WggiCWA06RhAEsRZ0jGTBgZHKAwdGcGDEBBwYQRAEyYKVIIIgVoOVIIIgVoOVIIIgVnNJKsEg/pEwwHQlGoJ8Av0jpnDXg8o3UQwXjwzeOhHxHZHgeF1zmGoK4e9L7RgBotyXCey4y94xUjA67M5ZhPmFQtQLwI2IMUa+DuGmICxQ0O1hOXxnf/X6N3RhhaASg+CPEPuMLXKAecVr5/3NsZ7Of4F9sqVZcvN3nfTEl8DnLxzvj0NkDK+5ufJIYujjFxCPlZP7bnzOPYnFLee2dv4jnVi/ftmdMP/Tbz8m68VzyrcXt+FpGL5+/a7v3/bHp/mxwLp8YuMQ9n3GweQj8m/yc2l63JeCchkdzp9Lz8nlVWgMdO0mP4ZzXXfk2dtoIA12fsW8xucMQz7JW+6S2yd8kkeHA+/r0eVL6664Ii9KtHu9deViS/eLA2myHPLA/U3n+7LHvT8VbzuYaP3URvp/Eq9S7fdSws+TMoACuATI4f23DC6uv0mMVcYdGgsXDu3NsGVA0O39cGKRNV3FPgqFt27XrMs/+vBYdpmqYoNMdyQV+2LLhtbVNEPMW9XfFk/9rO/IsTWr5s03DlAQ+PiFwk8zNgSQvK32aXFyu+gfoWl7MLm8CVb84Q90PVCwH4jg29TaxzO333oZ1wfTcP8+OeYcTIIHBwqkgRdWkD+J5/Ro9s+rYguaHtuAACPg91jFPvOb+8jxlfG51YOnRMcIWbz21+tJD+l67dAj8RuWvfohd4xktu7qGiEr2C5cggTdcH0lRe7Ls1xQx4hTLthx1/HjBsdIpnPkOXCM1F1RfiH41Y/DQV0CJXYPBPEoVJF0NU8HVJ4Q0gtC+NCVppTseNT+ERU03pwHfuuBKH0wfpikB8kRlWPEhMj2ZZVjRHQJsCjQvJWldAkE3T4gKo8C9XjQYJA5JSgP7UXD4/f0HN2ysfu3EMxS15LREvJ4oA9EFxsQWrda/4gClYOCA2kxDdU+ET6YIOmxmSgdI6r8HxZxX17BVK1yjAA86CNvuUAQx6H40rfkxypO0O1NcWKy5TwK/DGOB4Jc30weA3cvH2i5/Ib4q6AgJOn0vII+xQAEOR7uJOF+WZ3+U+cf4YhuE9pXdNeiH4mVKV/PvcUmlbtT+Yb3weT5VqTKO0x6bCWqG4Vf/g+Cal97n/pJaseRiyvZJgWwclH5jhEAWlUQhtt1CYykV3iF8g66PQf6ktxCpvCP+HkUaKDSOPkZ/C5ktO0bu/8T+j/golIn6+m+2WFGxIIcD/SN8YzEHQ6pNz9SuleYeyHPP8JW5e1H5Tvm66EiPbNt0z+ZZvwgPhiZvDQJDmUgbHpsA/JPKRwjgJj/2aLQuPs6NrqaLSqAlQt7HCN5LgHSQvxCeQfdHvDyjzhNbXOPAg1nL4QcpxFws833sE7fMMcDjzc1teTkmcz789kiJc4dlflHAuI+WhtmfNje1AcThqDpsQmoKOgIbMSOkUtJXrmodMcIdQnUptOuS0Dq55Ix2R4yhal/xMSj4Dwuk9vdinJs+Ma337lQT/+fxatvzY+gxw84gzixG+U+Ei//CFsUCJXvxAudDyYqgqbHFkrlGOEU5P8iYPv6pt++rHKM8JbUwLYzBYVahef2n/rNtTsSXb8x9Y9AK1DlUYATKr9DCI9lzujXKtIWT7yc7/CAd94WfSNIxuKYHj/tG+OeiCzwygH3inCm+/hHguL0fXb/B4zUNS2u8d0H3I1FH4wp8rHBuVY90gVNjw3wCipKx8iGuz5Ovti590V1/lcT5b4AWi5uRcdIxVAuL9Yi0WH7NZVflkbU8PPk+TiMIAhS6WAliCCI1WAliCCI1aBjBEEQa2lExwh2olciODCCAyMm4MAIgiBIFqwEEQSxGqwEEQSxGqwEEQSxmoJKMCpXhTxXljN+8OC3wgQz4MBUJOoPmUBXQpR4+SaKAR0j5YvXNYfpoZXkGGHHWvZeERGlY0Tl//B1DDBXAcw95P4KcFmI++HbQagr1fxE1bxgCsxzdN0i8TkQov7P/cmOvlTsdghPvoi8TnTf4z4FtqQAeSQxyHHCseXPy3RQza/NfRcdI6WmXEaHoYKbzI4R9xpXkFdEhJ8nzwAKMlG7RGScGGRqt8iM0YNf5hUgvdirkt9pI9mCTyfsN23WfS9M4AR0jDigY6Q4IGjFZHeMVKpXRCRYn+AEOwYK3CJSSKwZ1bE3aMRa6TEiiJNECTpGAoOOkWBMGsdIhXpFRIJVgiV2icgUuEWkIJQ6VE6SQKBjJBBB0mMzk9IxUqFeEZHAo8OlconIOLHYcm4RJ15d6mRvMvmOc8HAw5F249xx5O+FBR0jDmKa0DESnqhuFLwbg0djnwjHSCV6RUQCV4LMMRDYJSIDfUhu4TJwi8gXzLlosR+Sq2ecEisKPyeJKUGOE/rGeJrQMYLIQP6ZzI4RVhYqyisiErgSBPzcG1BhzbianAKnAFtEgUfZzBiZA/+Pwi1ydjy9QHQKm37PFHSMmBE0PTbBB+kmu2Ok0rwiIqEqQRP3hso5QZvRJE6gT4QtUmLiFoGWZF8qvkQc/DD5XhDQMWIOOkbUVIpjpNK8IiLKV2RoX4/rlWDvjDkfKNDS83NvVM1b1b++ueexrjzfR/77TCqgNWfmFsnfl+57xWBynED++XJeOUDHCMIrqEpwjNCycGvleEVEMJQWhtKqOGy/pvLL0ogafp5CPQ4jCIJUClgJIghiNVgJIghiNegYQRDEWhrRMYKd6JUIDozgwIgJODCCIAiSBStBBEGsBitBBEGsBitBBEGsRlsJwjQ06j6QnASyywLmPA729DwvzxmFKUM9PYPP+8XNE/FyMQA6R4Lf98qJUqUVHSPli9c1d8tZhThGRNhxl71vpGB0GC5KoRchN2cU5iEWuCxOt8wWXR5u5IyxnIsDlutQ/2ZubrC4P9GR4Pc9tsATeSTR16sgHVf+vEwH1THnvouOkVJTLqPDfvnTURKUr2OELaC417uCfCP8PBUEUBjt7+2ASCzZE/UlXqnpoJFcpAoQ4D6NFSsym3e9WejbkIHJ/ToXQ9080q9zJPh9jy0ODDpGHNAxUhxe+XOyOEZEKtU3kvc4DIWBxuNThIeXgaZu1+6Z69ofWNQub0vjosUb3vpKfeO22Nhw7O13LtSzVaGI0rdgBDpGAoOOkWBMGseISIX6RvIqQeMYd2cP3bx125nNLRtaV8t3fWga8yjMPB6ffNL8EF0MbJERYb9XADpGAhEkPTYzKR0jIhXqG1EMjMw8L96dVKQPH747TdLzVFGR+WMfXGgej09lhNMRtkBFXRDRMeIgpgkdI+GJKn/ybgwelX0iHCMilegbyasEnTvRmY8z58g1bJES6AsCv0dq284nZTcIfRQmQzdzIRKtGMYGvs6dG9B35BYqyS0CrcgwLoaw3/MC+jXQMSKlCR0joShF/uRMhGNEhJWLivKN5LcEp9e8N5OkLzN5fHVOWOpA79bXe3nrAO52EN2ZbiDBL5LOLQInlI5USS4GP8J+zwR0jJgRND02ocufk80xIlJpvpG8ShAS29Qcewoec8S7uu79ovrW9o3Q6tm1b+xh+Oz0KcZJeyIxK1fRJaug1UNSR5fIrUYRnYvBj7DfMwEdI+agY0RNpThGRCrNN1Lwigy01OhQ/bZNO3OjC/AeUv0S9sEFKs3WDS2rn+3s2rOjZtPR+VR63lYgPXcueC/RvbrCL6TOxfDh9o1bcu+k5TsSvL4XJDOp4H2a6BhBx0gY/PL1ZHKMiNBycWvl+EYwlBaG0qo4bL+m8svSiBp+nhSjwwiCIPaAlSCCIFaDlSCCIFaDjhEEQaylER0j2IleieDACA6MmIADIwiCIFmwEkQQxGqwEkQQxGqwEkQQxGoKKkHZVVEqdwXzD3wS1HkAU5F6Eon3TWLylSv0GAL6V0yBOaiDzyT2wrnVeUwg0AX1WkQQiw7xh+f1UjhGYEqcSfQek/Jmui9T2G+WvWOkoBIcPTbwgBhFRv7MgRMmX1heAHWFD+AXfdOR+WtoiJ1U3xIeUsut4OBiiX8sg8BvJjszLyxLJG7Y9NXMExCTL+rwTfy4VJlFVcG42wt/XscP+3j9lwP/kE4PfIsHngDEfRf+OZWV6rf48fPvb9zY/QFM2N+QuGfezN1d68Rt+Lnn8f823TvzuxCLTg5phkSDm9fZfG0n/mLuXENYuWTy1TdrNiRWr79+eJeYn/n1pN89fXa2qoKE78OcYF38SsCrvLFNKHn7UsT98y0XPYk9sB7yPvvN4+w3Z2d/czEh8eM8EGu5UdTjsOuwCNCagIn84F2AsEI8AAOPYchj7fHoMx0dD01rqSWvQKSKay8MT4PIzjyaddW8Vf1RxVGTAZeCKhpzzjFC9rJFFDHmHsRZ9Aoiy/exYkVss7idGOCSZlZCTkCABWe/udiC4m/BH5/s7kYr6eiYBnH/qqc0jNLzLGzj+mOy28AyOIfOOU6d7O0f7YBtkOhw8zq7VjSgLkldCYF64YYvOkZo4BKI0ckqNNcLkl3GdpeH8/2au9vb4w+yRUq8yhvbxHhfnuWCOkaccsF+s074zTXXkcyfwDFCv1BmFFUJltph4YSlis9Z1lTdB5+rSLqat0rh7nP2NJkN4Xngc6SU0KUQtX8FgDuvnxtGtw2PlOMX6gyJlmIdIzwvfuGidxR4E4z3ZYNjJAzFOCzgDgT2LdJ8R7cqbP0xGpprPg3NBXcUCD1EHyl6eo5u2dj9WwhUWZKQ7iVwjABQcRfrX1HB4zh6ulXOZa45Q2Ifq+IXmkYUR4ojKscI5DOwPK64rfZptsgIVXkLtC97HCPBcKIKB3NYwImBvj/mH6hWPT7CNvtTsVtaFtc/wRaxmHXkFZJOzxNjoJWCUjhGivWvAPy36J9XZzrfJvsH/UyqlgcycUBlEYVjBG6kh15LPWJihOToyluYfVW8YyQsOoeFzici9v0x/4AbnZoDTex0fOkhfnIhE23f2P2f0E8C36N9Waf7ZnuNdhUDtDyjdoz4+VdMyOsTZM4PuSUHfX3uOYKbRhZs7V06IP9E5RgZ27frYXgC8gt8KqIrb6H25ZSLCnaMhAQOWOWw0PlERHhlA/4BtijXfyWcXPrIV9tykns+JqIvK0rHCByTn38lNCZuGI9tHLdFY/q6WVNH2SIkIqCiiNIxcnY8vYCk+u7jjQt+I+3euOW3Jl1SYnnT7uvxvpNe6s2KdowUg6nDAprJsn8AQpCLAxy0iS1UeC5jwzeKAwlebt4oiNIxUox/xQ/IZLy/VPd6Dmzj+GPyR/P9+jGR4ojaMQIDJgX5B8L1d3z/L1RdNV7lTbuvR9vmePXfVbxjRAXth3I9E7FxGNaf4Xxw4QXR12Hh+AdeSBAyly3JcyvwFlOs+Y6nxMzgvBKTeLmvMzk0wJY5aVn0jVIVXt7ajMIx4gzyBPevyMi/BY/H8IgF5yexoWYh+F7E9dnUnGinAyZVjiFwPLEg/xw66Q3ySISYwSucKB0jgd05PuUtDLRcoGOkcsBQWpUHhtLCUFomYCgtBEGQLFgJIghiNRheH0EQa4Hw+tgSRBDEanBgBAdGKg4cGMGBERNwYARBECQLVoIIglgNVoIIglgNVoIIgliNcSUI03jkUPYwxW3H1n/rHtyZ+IVunV+YKBr2qUSRYMoRHubKKwR/GErlgkGKx+ua03ISwjESJh/p9gXT+6jWIuJyyNJY9o4Rd3TYjXYxRr7O1gnExpubZz65ezf5bnuidQmf/0rnN5I2sqnh6PZN28iTqnVi5AyRvN8T5kTCBYHAjwXxArPbbFg772+O9XT+S34a4yfE3w2KPJLoztmE+ZVS2sU08zm7+XM8Hfg69pGS+258zj2JxS3ntnb+I51Yz47bbz8m6/dXr39D3l7chqdh+Pr1u75/2x+f9rredH74weQj8m/yecamx30pKJfRYajg+pO9B1LivF0hv0Koua7d5MdwruuOPHsbDWTBzq+2fPjsEz7Jo8O6fYl5Er7/5/5kR18qdvvydfc1ywEU3OutKxdbul8cSJPlkAfubzrfl03j/lS87WCi9VMb6f9JvKr90eVL6664omyiT/Pz5AZQgEnR4Lhoyv6fn2iQ8fCJ9XCgU0a6v/rqYFNbXTajO5PDY7e0bKj/9uWzPjfaUtt9UrUOvqvCdShktu7qGiEr2GIWh6zpKvZRKLh1u2Zd/tGHx7LLSj3hH1wK5PD+WwYX198kRubIOUaG9mbYMkAs/DRjQwDJ22qfFie68++6mZWd6+yJp+uBgv1ABN+m1j6euf3Wy7gOmIb798kRRvyuN3A0++dVsQVNj21AUBHwe6xin/kNHoJlzK0ePCU6Rsjitb9eT3pI12uHHonfsOzVD3Xlw2OfugAcurLG9RVunlyV/E4byd5Mj5//2tKrawqiyHiWC+oYccoFS2MdTyM4RjKdI8+BY6TuivILwW/8OMwjqvCQ82LQU6917OsF+DkUOLJnZEIomUthaC6PVO0HjTfngd96oNQOGBGT9CA5inWMBMFzX1IouhnVsTe0UaDRMcLD26dOjpw4cTs1vxWEvlevKwbRM8IWkdS2TTuhP6Rk3twSOEaghbs0Tl6maTdwJnvFSoS0mIZqL8YBY0qQ9NhMVI4REXGfbFEwpMCunqBjJNcaTPX2PiP7NrzWhcV9rGYVKn+E40Eg1zeTx8CbKw/KREEpHCNwR6baxbGBG8ExK3dq8/3AH+0rumvRj8TKlK/n3mDdY6qIU/kGc8CIiGmSK+8w6bGVUtwoit0nb7hw3QP8wU2crVaCjpEszkkgJ1ReAdU66CtyC1FAybffYzUNEloi9zD0a0TtGAGYe+EqiOIrR3kW9yO6hjl8PVSkZ7Zt+ifTyl/ngDEhL03MacJWhU6PbUD+icoxwolin3KjAv6o5/jqGafkaNEcVi7QMRIEE8+ICqeZne8ZmWiidIzIODeM9PnMeNVstsgY99HasPKH7VUOmKgImh6b4AN7UTlGAN0+owC8I34ub3SMTBBaz4iA87hMbi9VRRmlY2T84I61YqvPcY7ErlR5gE2Y1xDfTlL7bzft6zN1wIQlaHpsIWrHCKDbZ7HAU1tfKr5k2U2ffY4tUmKlY6QU5L9nlu9QuPbC8DSVZwROpvwOITySlep1Gd7PGYVjZHpDTWq4M7lnQEi7ajtTnP6c7v+AkbqmxTW++4C7sZEDRkI+NjjfqsevoOmxAX6TjtIxsuGuj5Ne+1RVoF77erFz74u58hQ/YfIuHy0Xt6JjpGIolxdrkeiw/ZrKL0sjavh5KtvHYQRBkIkAK0EEQawGHSMIglhL9nF4CvYJYp9gxYF9gtgnaAL2CSIIgmTBShBBEKvBShBBEKvBShBBEKspuhKMMqy7V8hwvk4XAlwXOrzc8DrGYsDw+uWL1zWHOfKXOrx+qWBpnDzh9dln/zDaLEw3nz4F24th3Tn5U3UcdBGhISPoQobPJScIXRdvO8BCdWe3ixMeDVdMk9fUIR3ySGKY45ePUzW1LPddDK9faspldNgrX0PedaJxl0N4fTEPqKfOude7ksPriwQNL6/DtFCwcNyakOF1/eK61g0tq890Dv88c45cU1dN3tWFDi8GDK/vgOH1i8MrX5dDeH2OrnEiY1d4/UkURjvKMOQuGF4/MBhePxhlE14/CFaF1w8ZXj4qdCHD+V2PNN/RLbdsIgXD6wciSHpspizD62cRdRX7T/+RRoxWYlt4fR7vzCS8vA6v0Ow6VAUKTiR4UVmo7moaqttgX8UQ5Pj5cWJ4ff/02EopbhTF7lOlq9j71E9SO45cXMk2KYCVCzvC68NzvWl4eR3QZ+RGlWah2aHvyC1UUrh9+B1VyHAoyBCSHvbDw9fv2jf2MFtdEoIcv3icGF4fkdHl62IoxT5dXcWx0dVsUQGsXNgTXj9MeHk/dOH24YTSkSqfkOG8coJQ3WxRycDw+mYETY9N6PJ1uYbXN8Gq8PphwsuHRRcyHJrVcqhuiKzr50GIAgyvbw6G11czmcLrs7L1Tb8nPqvC64cLL8/eMStY7jw+qZruvGJThQzf8MD072U6ky8kxPeiDMKQB31fUAWG1ze/hhhevxCvfA35s/zC6zvX128kGcPrVxjl8mItEh22X1P5ZWlEDT9Pno/DCIIglQ5WggiCWA1WggiCWA06RhAEsZZGdIxgJ3olggMjODBiAg6MIAiCZMFKEEEQq8FKEEEQq8FKEEEQqwlUCao8FjAlR44eAiF+dmz9t26vcFdejgS+bjI4Q4LiddzFgI6R8sXrmtOyEsIxArjlxDBMnW5fML0PQtVFXd5Y+iaxY8TFmQsMYZ1gnewTgQPdtI08KToO6D5IG1FFuICLrnMkePlE5p57/RoIqCrOc6QUOU9YHkl0jx8dI+gYKRKvvA5lxVESBHOMwB7c/da2nITln9635eGXyB2En3t5dFi3LzFPQpr+3J/s6EvFbl++7r5mOQCqe70r0DGibAnCgeTCXRXGtRNxJs6nTvJoGM6k8dgtLYvrn6AbSMBEfnAk8P3TIKMkdSUEL3XXZU8y/B98IjFy5mPwifA4fPx7HR0PTWupJa+UIroNuBRU0ZhzjhGyly2iiOdrfXPsh6qgr6JjpGFK9SgNZqmJz+fuR4hsDfitl3EdI4oWohhQk8Z7I+QEFEBn/7lrnp8XklXi5Pqg6bENr7wO5UR0jECIOTiHPCCv6wXJLmO7cxnt7+2AhgLPP/Bdr5uPbl9OxCOnAoRKGYL+go7h6PHzX2Ob5OFZLqhjxCkX7LjrhHK85jqS+RM4RugXyoyi+wR5pBVeAMA3kI4vPeRVcUYBv4DLmqr72KLoQMdIYNAxEoywjhFoBYLmQdfIUOHpGJFC/M+ojr2hjQJtlWMkILw1OHLixO1BL1BYn8ixI6k1JD7/QJiw4r6gYyQQQdJjM5E4Rs5lrsmQGlJzrj9O+wMD9AkqkQK7emKTY4S7I5y//BD4KnhrMNXb+0wQD4mq8PBOWi+fiN8jdxSgY8QhLy+gYyQ00d4ohub2jsxfCo/YtFuIDJDu7W9sYSuN4Y2X3mTyHX6N4SbOViuxxjGS3w+UC4HvhXNyyAkxKm2pfCIT8cgNfRnoGJHShI6RUOjyengWnmhvrd8I/+MNEJI6uiRof6zYL8z/aL/h1TNOydGiOaxc2OMYKZZS+ESc5jdZ4hcCPArQMWJG0PTYhC6vh3aMTK95r4ZkCAwWsiWRcnY8vcBPXWGVY6RUFOMToc3v2paTUUif/EDHiDnoGFETtWMEKsiZtenfiYNdUfWPw5NbXyq+ZNlNn32OLVJilWNEBe0HknwiQR5LecUWxicCrcDB3el1seY7njKpkIqFP2qgYwQdI2Hwyuvwrl4Yxwh8b9FdLT8a7uzbk0gRp0Khyxfcmc2w9KOMbl+FjpH4CZN3+Wi5uBUdIxVDubxYi0SH7ddUflkaUeP5sjSCIIgtYCWIIIjVYCWIIIjVoGMEQRBraUTHCHaiVyI4MIIDIybgwAiCIEgWrAQRBLEarAQRBLEarAQRBLEabSUIU9So+0DyDsguC5jzONjT87w8ZxSmDPX0DD4fJM4ZdyYoXQywP40Hwet75Uap0oqOkfLFM1/zcoaOkUtGwegwXJRCL0JuzijMQyxwWZxumS06ENzIGYKLA5brUP+m42JonPruByoPAsxZXjT9xHu675lOJpdHEn1dCtJx5c/LdFAdc+676BgpNeUyOuyVryF/omPk0qIdHab+Aji5HR3TcmGwklWqzE2jTkgVIMB9GitWxDargqLKwOR+nYtB50GAifpe32O7DgU6RtAxEgVe+RNaX+gYKQ/yKkG4w9BYfYrw8DLQ1O3aPXNd+wOL2uVtaVy0eMNbX6lv3BYbG469/c6FerYqHDoPgsEjQCjQMRIYdIwEAx0j5UNeJWgc4+7soZu3bjuzuWVD62r5sROaxjwKM4/HJ580Pwq8I4YeBJ2vJDDoGAlEkPTYDDpGJo1jZOZ58e6kIn348N1pkp6niorMH/vgQvN4fEFabXKBMvUgRF0Q0THiIKYJHSPhiTZ/omMkSvIqQedO5Hh+2SIl0BdE+y+27XxS7gOij8Jk6GZ+YmnFMDbwde7cCOod8fQgsApC9b1igb4MdIxIaULHSCiiz5/oGImS/Jbg9Jr3ZpL0ZSaPr9AZ2xZPHejd+novbx3A3Q4iP9MNJLh/oljvCCB6EIJ8LyjoGDEjaHpsQpc/0TFSPuRVgpDYpubYU/CYI97Vde8X1be2bxRtcE6fYpy0JxKzchVdsgpaPX53Kp2LQcb1IDDpuun3woCOEXPQMaIGHSPO50nlGKFD9aSHdG3btDM3ugDvNtUvYR9c2PD36mc7u/bsqNl0dD69GG0FF8O54L1k5PjKeN08UjjilT1JWu+IyoPAhvS9vie/thMG/qiBjhF0jITBL3+iY6Q8wFBaGEqr4rD9msovSyNqtC9LIwiC2ARWggiCWA1WggiCWA06RhAEsZZGdIxgJ3olggMjODBiAg6MIAiCZMFKEEEQq8FKEEEQq8FKEEEQq9FWghAMoZwcI4BuDjPgta6c8DvGsKBjpHzxuuZuOQvhGAmCX74rRflhv4mOEd1cUxH1b+bmCIv7k+cFe60zQR5J9HUpSMeVPy/TQXXMue+iY6TUlMvosF++DuMYyVvuktsnfBJHhwOXrXu/9FeqMFru9a5Ax0hBAAXXMbJ+2Zf8KhN/x0hm8643j684dVvt0177gsn94GJYxT5DK/LZzoE9POCC60jIbN3VNUJWsM0oXuvCAi4Fcnj/LYOL628SY/rlHCNDezNsGSAWfpqxIYCkdMyiY4Rm1geTy5tghTDpvWA/EMG3qbWPZ26/9TKuY6Th/n1ybEIeSw7SwAsKBEYVw7BDvHyvii1oemzDK1/PrR48JTpGyOK1v6aBS1479Ej8hmWvfuiTr3llyT5qKaZsyXiWC+oYccoF+806/pvgGMl0jjwHjpG6K8ovBH/e4zAUhnJ0jHg5Ejz9CWFBx0hg0DESjLCOkagJ9DvoGBGYaMfIRIOOkUAESY/NROIYYdB8RKOz97wf5NoWVbbQMZJjIh0jbPGEg44RBzFN6BgJT1T5Wg6Jv76ZPDbQmRwyURtEkQZ0jDCgL2iiHCOXCujXQMeIlCZ0jISilPna0VyQn/mpDaJKAysX6BgBLqVjZKJAx4gZQdNjE7p8HdoxEoKoyxY6RgQuhWNkIkHHiDnoGFETtWNEBh47IYS/7ikFiLpsoWNEACrNUjtG4PWbD7dv3JJ7Jy3ft+C1LkhmUoGOkcJjg0dg1eMUOkYK8cvXYRwjhV4Q55roRngDl63HB35H12neFwTQMVJhlMuLtUh02H5NxZel2SJEAT9PitFhBEEQe8BKEEEQq8FKEEEQq0HHCIIg1tKIjhHsRK9EcGAEB0ZMwIERBEGQLFgJIghiNVgJIghiNVgJIghiNdpKEOYyDj6T2AvRXqLyYcAUnqDeEfqdROJ91dxlo3UGsfsmEuZdQMeIRXhdcwg6EtYxwvdrmsd996VZFxaWvsnnGHEjTjDnwIYHpn/vYPK5AXAUFPglDD0cXst15LaPz4GQ9H/uT3b0pWK3QzjyZbPeHdWtg/BTTvriS2DdF473xyGcly4cuTySGPTY8ud4OqiOTzwedIyUlnIZHYYKLmrHCOzB3a+jwbjz0/u2PPwSuYPwcy+PDnvtq2CdhY6RgpagG3Gio2MaxI+rntIwCo4CiAYjViLgG1BFLM55OMhetojCl69YEdtsEmTVicbiVHKQYSAgKYSKhwn6Xusgg0AEaB71umreqn6TeGsiQY8NLjyPmANxFlXHx78LaW6YUj1KA2Nq4vO5+xEiWwN+62Vcx4iihSgG56Tx3gg5AQXQ2X8ulqH4m/CXlwcCpsc2IGgFLzvwRwPqktSVEKgXnlRExwgNXAIxOllAXtf9kV3GdudCPUDxtgM8/8B3vW4+XvvyWifjWS6oY8QpF+y466CyZEFW1lxHMn8Cxwj9QpmRVwlCBWLqGAnqGwjlHZHCj8+ojr0BFcxZMuVzunXnyMefqyLpap4uuEudPU1mQxgfuqEJ6BgJDDpGghHWMeLe5BfXP8EW+eLlEfFaV4A9jpE4MfIPBPBwQEUUyjsiBZ3MQ7Puo6lfoiGjaAionp6jWzZ2/xaCSQZ6TEPHSCCCpMdmInGMnMtckyE1pOZcf5z2BwboEywaexwjOdyOV/Ynh0839XDwR8Eg3hEnPl3qJA/TD39QwdCV9U36dVmc75JXSDo9T4y7FgTTYwO4awMdI5e+P7BcifZGMTS3d2T+UnjE7uh4aFoLGSDd29/YwlaWFFYu7HGMQH+ae6KhUpGA530TD0cY74gslIE/2m9x9YxT1VXV7+nWXXtheNr2jd3/Cf0csJym/XTf7KAjX6bHBoh9Y+gYQWQg/0TrGFl4or21fiP8jzcq/CK3RwUrF+gYEfHzcMAdMKx3RObseHqBrm+Pr6OP9LUtJ3k6iskk6BgxI2h6bAIqCjr6GpVjJFtGa0iG+MnQSknFO0Z4f5rpe2x+Ho5ivCMi0FqE116WNVX3sUUuBevGhm8UB168+te8QMeIOegYUaPze/DulqCOEcjDM2vTvxMHu45RrcX8Aq1Fqah4xwg8Aic21CwEb4jolqDvN9EBk/yKnLe0dB4O5wKF84482zmwJ9enl3u/ymsdoa/EJF7u60wODTgrs8B7b4u+YVKJifgdG4f2jaFjBB0jEpBPo3aMwPcW3dXyo+HOvj2JFHEqFLp8wZ3ZDEs/ynjtCx0j2RoNQ2lhKK1Kw/ZrKr8sjajRviyNIAhiE1gJIghiNVgJIghiNegYQRDEWhrRMYKd6JUIDozgwIgJODCCIAiSBStBBEGsBitBBEGsBitBBEGspqASnEhXBUwr0jlC3DBeinXu9yYqjlqE8ONCx4g9eF1zCDBSlGPEMDqScRoiDHfFfnPyOUZgnqHoqgDgYHisPBE+jzSob8KNrKFwhCyafuI96k+Itx1gfoIDTgAGZ26w81tm/hAT5JFE91jQMYKOkSKBysXJv9E6RrzWAeLocKg03JNYtaphSl55d6+3DY4RFTyuIP9zfATxE2JEFzh4cb2Xb8LLEQIT/amXIecnWM1jHMIFLdYfYgI6RtAxEgVuXmbnKCrHSBAvSKg07H/9B6oWoRWOEROcE5f+cfzelT+AiogtzsPIN6FxhPg93hbtDzEBHSOBMbrmiEtYxwgQyAvigWcaCCl8LLbBMWICHHA63vay7iJAa80ojLiXP4QBFS6EzCLNd3TDnQruKkX7Q0xAx0gggqTHZiJxjBRJUWmw0TEiA4Wc9sex0N4iQXwTnv6QLHDiYOCD+QmqxRZiFP4QE9Ax4iCmCR0j4SmHG0UUaah4x4gX/ATqHoN5/5DsmwjqD4FCDwUXPBx0f8zZsWvf2MOQhu0R+ENMgFYnOkakNKFjJBSQf6J1jAQnqjSwclHBjhEPuPDZry/CfexjgxXF+kN4ZQR+gij9ISagY8SMoOmxCago6EhuVI6REIRKAyHaNFS0Y0SH8xgcu91U+BzUNyE6QqAZLfsJIES5W0FG5A8xAR0j5qBjRE3UjpEwBEpDtmWn8oaIVLxjBKB9Pa5XIjb+5S/D0He6eiDP25FF8c4Q4OebgJOi9YdMryGZzuQLCfG9Jte9sIpE5Q8xAR0jhccGj8Cqxyl0jBTCb+BRO0YKvCDCOrkcFJMGHegYqTDK5cVaJDpsv6biy9JsEaIg0MvSCIIglQpWggiCWA1WggiCWA06RhAEsZZGdIxgJ3olggMjODBiAg6MIAiCZMFKEEEQq8FKEEEQq8FKEEEQqwlVCUI0F+okSPS8H+VcUZji4+UOoc6CCHwLlxKazgQ6RmzC65q7ZSlEng+Kbl9uuYu4/LDjnpyOEZ1XAi4Y9xXAspVkJ3Fi6OXm/sL2YfwTznfU7hA3CkYI34If8kiir0uB/RY/HtNjzX0XHSOlplxGh8XywhZlKc4xUjjvniFsI48O6/Yl5klIE3f9LF93X7McANW93rpyUWmOETiQXPirnFeChtOqbTn5UEfHNFgGjg8a0w8CpPaPdtAvM8R9QKxAL/8EZBYvd0hUvgVT0DGCjpEogKAVUTtGWJw+GmsT/pzyR17xij6j25fO9XP0+PmvsU3ysN4xAhXV0RRZIoeON4npZ+Kf8HKHTIRvIQ90jATGJD1IjmIcIyK8IhOlZzKe+9K5flRRoK13jJzLXHOGxD5Wxb9zvASOEY4tcoHK0y+kNw/zRMM2ldIdYgo6RgIRJD02UwrHyLEjqTUkPv9A6PNu4Ppxsckxwt0R9I8VWNWdywu+D1P/xES5Q0xBx4iDKi+wVaHSYyuluFFABbM/FbvFNNixjFPm9K4fFdY4RvL6gVi/lVdrTwXfh4lzBDLI9glyh5gCrVN0jKjzAlsVOj22AfmnFI4Rx/y49JDqxmyC2C/M/2i/Ibh+NJGlWbmw0zEC0WJnkvRlcn8A4HgJGtPXzZo6yha5uI+BbJBD5RyZaHeIKegYMSNoemyCjpzCCGzEjhHnMZQs0d2Yw6Jz/YhY6RgB4ECammNPya0Xr34wjpF/YgLdIaagY8QcdIyoCeT3COAYoY+hQsMhClzXz02ffY4tUmKhY8R57IFmPLTi2sYTC/IdH7l3x9jHAvz8E84rMXp3SP47aeF9C0HhLVJ0jKBjJAxOn130jpFrLwxPG9ydXhdrvuMpkzyu29eGuz5Ovti598U814/Bu3y0XNyKjpGKoVxerEWiw/ZrKr8sjajxfFkaQRDEFrASRBDEarASRBDEatAxgiCItTSiYwQ70SsRHBjBgRETcGAEQRAkC1aCCIJYDVaCCIJYDVaCCIJYjbYShAna1H0gRXKRXRYw53Gwp+d5ec4oDaXTM/i8X9w8EeYk8PRvwBQgXbQSr3XlgskxhgEdI+WL1zV3y1lYrw5EYzKIT2mchgjDXbHfnHyOETghhV6E3JxRqGgKXBanW2aLc3XdyBmCiwOW61D/Zr63BHCcDOmfquYGe63zQh5JdOdZomMEHSNF4pevwzhGYA/ufkF1kV3+6X1bHn6J3EH4uRdHh0Ol4Z7EqlUNU/LmmLvX2wbHiOgRyYW8SlapMjeNOiFVgAD3aaxYEdus8m3IwOR+nYuBbUJbli/trrm7vT3+IFvk4rUuDOgYQcdIFHjlayfPBneMALSMxtsO8PwD39XdfEKlYf/rP1C1CK1wjMBdQ+URUQFN3a7dM9e1P7CoXd6WxkWLN7z1lfrGbbGx4ZgYIiss3GPwhYuFka291oUCHSOBQcdIMMI6RqCMUilZyGjSIp5pIKTwsdgGx4hxjLuzh27euu3MZm6HY0sp0DTmUZh5PD75pPkhuhjgM1S40OJccVvt03QDAa91oUHHSCCCpMdmInGMnMtckyE1pOZcf5z2Bxr2CXKKSoM9jpGZ5/08IunDh+9Ok/Q8VVRk/tgHJ5nH4zN5JObIBQoq1UOvpR5RVSxe64oFHSMOYprkwhYmPbYS7Y1iaG7vyPyl8HhLVRRkgHRvf2MLW6klijRUvGPE1CMCfUG072DbziflPiD6KEyGbubyFloxjA18nTs3oB/RLVTMMUK/mAUqNdnFMLZv18MQmlz1aOC1rligLwMdI1Ka0DESClW+Lo6FJ9pb6zfC/0xVFFGlgZWLCnaMeHhEZGiU6XjqQO/W13t56wDuNBDxlm4g4eUYgeVwQulomORiAOcBSfXdxytOXql2b9zy25feSj+kWxfF4x86RswImh6b0OVrsf+PLTJzjGTLaA3JEFPhGRAqDYRo01DRjhFIrOMR6fqpeFen7/so3lWqb23fCK2eXfvGHobPTp9inLQnErNyFV2yClo9fncqnYsBHiEL9gWvDHR8/y/Wrk3O161TPbYGBR0j5qBjRE3UjhGoIGfWpn8nDnb5uYcDpSHbslN5Q0Qq3jFCh8lJD+natmknHZWgwHtF9UvYBxc2/L362c6uPTtqNh2dTy9GW8HFcE52Lxk5vjJeN48UjnhlT5KXiyHq/j5T0DFSeGzwCKx6nELHSCF++TqsY2TRXS0/Gu7s25NIEadCocsX3JnNsPSjSDFp0IGOkQqjXF6sRaLD9msqvizNFiEKtC9LIwiC2ARWggiCWA1WggiCWA06RhAEsZZGdIxgJ3olggMjODBiAg6MIAiCZMFKEEEQq8FKEEEQq8FKEEEQq9FWghAMoRwdI17AVKPJEMkkzLkxhV6PZxJ7vc6je20TPe/jXN/S45Wv3WuhiQmom7cP8P2axBN0t9XsqxSw30THiG6uqYj6Nx0Pwtxzr1/zbOfAnrQw55YizSsud8cIR3duxOV0wzz8nR9538+egw0PTP/eweRzA3BO+TbieYZlK8lO4sRALPS5TGbKZXTYK1/DuZ5Qx0i87QDzfWTTA0FOfMrWvV/6KzEwgm+5mMSOkYJKUFWpicB6XgnSizjSuELeFlo6z3aeefovV2R+tevNxhuDVEqA8/2BPTPv3fRdOVYgzxwgC+IXnf/esvaq7t5/rfl2kN9TVYL7q778GXL49E2NG+7/thiNhv9OzcKh85mr1g/A74vnA7bRnROOybnhGRcClYrHL/+WiN91A1TbuIVNCrM0mSmXSlBGzNet1YdOPds5/HMxj4l558PtG7ccbdi0vSmzdb6cn+h1JG1Ed73ESpAtcnHSkP+7HF6ZDX/RydtsMYXmvQDlgq2iwPr/0zny3Lx17W3lFF2an6e8x2EofOXqGOE4oaric5Y1VfexRZPIMVKac2Ny3XTbmAblRKKlHBwjMrRspeNzl9302efYonzQMSIwwY4RETl2GlTGk8ExAkRxblTwOI6q8+VyLnPNGRL7WHVtTSOKI8VxqR0jvCVKmu/oVsXbdMuW7pEVHSM5JtIxwhZT4ITuT8Vu4XdBqFQmk2Ok2HMD8N/yyvxuJzj7g8EiVcsDmTi88nVwgjlGoNz0JBLvM99HtSrPyWVLBysX6BiBzs+JcoyIQLM7HV96iJ/wyeYY8Ts3Joi/xZ0f8nWrmreq3y0gteQVWIatvUuHX74OTjDHCPfaiPmTR4PnyGVLBysX6BgBJsoxwnGa3WSJeMK9/CNRvPoRpWPE5NyExuS6eWzjeCUa09fNmjrKFiERocvXE+kYEeE3d/B9sEXKsuUFOkYEJsIxwqHN7tqWk2JF5OUf8bujmRClY6SYc+MHXDcIkw7XTfduYO7a5hvu/PoxkeK41I4ReCyVfR8Qbh98H2yRsmx5gY4RAShYE+EYufbC8DRoRcWa73hqIgsqf9SIwjHiZNTg50ZG/i3+riE8Aic21CyEayGup9eODphUOa338cSCvs7k0ABbC/B309hHJCL88vVEOEaY7+OFhPiuovA7/AklSNmi5QIdI5VDub5ThoTH9mvq9Z4gkkP5niCCIIhtYCWIIIjVYCWIIIjVoGMEQRBraQTHSDJZfqM1CIIgEwMh/x//rMXMp1pMagAAAABJRU5ErkJggg==">
          <a:extLst>
            <a:ext uri="{FF2B5EF4-FFF2-40B4-BE49-F238E27FC236}">
              <a16:creationId xmlns:a16="http://schemas.microsoft.com/office/drawing/2014/main" id="{00000000-0008-0000-0300-000003100000}"/>
            </a:ext>
          </a:extLst>
        </xdr:cNvPr>
        <xdr:cNvSpPr>
          <a:spLocks noChangeAspect="1" noChangeArrowheads="1"/>
        </xdr:cNvSpPr>
      </xdr:nvSpPr>
      <xdr:spPr bwMode="auto">
        <a:xfrm>
          <a:off x="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xdr:col>
      <xdr:colOff>304800</xdr:colOff>
      <xdr:row>3</xdr:row>
      <xdr:rowOff>121920</xdr:rowOff>
    </xdr:to>
    <xdr:sp macro="" textlink="">
      <xdr:nvSpPr>
        <xdr:cNvPr id="4101" name="AutoShape 5" descr="data:image/png;base64,iVBORw0KGgoAAAANSUhEUgAAAUEAAAGRCAYAAAD7MAEeAAAAAXNSR0IArs4c6QAAAARnQU1BAACxjwv8YQUAAAAJcEhZcwAADsQAAA7EAZUrDhsAAFKXSURBVHhe7Z1xcBTHmehbxJUYJ8QFsrANWtdBJFCsM7HZOFgPcIhD9EQssM8HcSyfnJSN7QqhiN+7pEzq/lj2qlKW34VXtkr4yrLwu4sOOS6c+BnkQgWYswOccB2r3NknGRCBlFfYhrWgiP2Ckzj47dfTPdvb2z3TMzsrVtvfr0oFOzM72zPT3dPTPf39qv7rv/7rE4IgCGIhjY2NU2gl+Itf/KKKLbOOv/7rv7b6+CsR269p9vgvZgv3p/7+7/8eGzge8PM0hX1GEASxEqwEEQSxGqwEEQSxGqwEK5TMwZ6/Tew4+s/sI4IgGiKtBC8eGbx1cPziTewj+cxnTn1usKfneXFZlFy8ePzaHYnEbxKJnvdL9RulxO98BV3Pge2Oj6RXxBvmbWeLQnFxfPCmnp7B50995jOfY4tcdL8ddHmpOboj8c87jn3Syj66lDpvThbk6+J3nXR5wus8H+rp+Tnf5/jBHWtV+x8/ePBbxy9evNb5v/82wCfHdrQmEomLPQczP2SLQlFQCcLBZHf8ifiX/ZG/ZauV6/nBjx4beGD4yPhtdMMsb2zv3jLwSWP1dbOmjsJn/l1xfzQzPpPY6/cb4npe+SWTve+Qezf9YNO9M7870JkcSiR2/EY8SWFwf1vRiuJpFdPjdT78jsPvfAVdz7nwztv1w2MLP3993Scp+Bz0mABY/vovB/4hnR741q59Yw+zxS663w66vNTMqI69kXrt0CNyof3ozdSygfTML9dMJ+/B5zDnqNwR01345zQc5OvidZ1onnhx4H+p8oR7nn//+2lsEQXO8670zJtrpn50Gr5/7K3U3fL+neW7Hxw5XhU33WawJ7Fn0zby5Jq/W9fQ+FbXf088M7hX/m1TlC3BWPP6HyaTySr4W98c+2F69+A6sXIR18PfqnlV/WyVCzyO9Z1umf3Q+mV3zv7DHz5ki0ltbe2/pXe/9GOvuw3glYbR/t6OVG3LyYc6OqbBb1fNW9Xf0fHQtJba1Mne/tEOuoMiiH35y8/HUvtvkdPIK5eFC8letojidT78ziVHd744futFRg8OPJKON7xVN2XKu2xR4GPiy1esiG1OjxxfoWoNTgaqGxr3xcaGY2+/c6GeLaIcO5JaQ+LzDxRzjsqdP/xh9odNDyaXQ95LJNpnxQk5Eb9300onP669qql6yq/ZpkbQ85BeeKWbJ4RKh5/nEx9clneeR4+kVsN57n38cfc8F4uTjvjn2x9dvvQvP331saa1yW8kH2xaPvuKKz5gmwTC93H4qpqZR9l/jYFmatfumevaH1jULhfYquvv/GVbPP3ywMHRR9giX8Q0QCvwaIosiX/1lifEfcMFv+Wr8SdI6uiSYluD5Kr5bzXWptPy3QgqF9L8355vqCLvsEWB0J1Lr/MF+K0XgfNzJBX7Ysvi+ifYIoeAxzR+ZPg2qEi/Ut+4TVWJTBamzrpuVD5uNw/J3QUluu6VQkGeuHB5HVvlnOdY+u2jx89/jS1iedE5z9mKN+J3FlNzR96+PFuvF49nJQgHsXNb6slYc9NT4h3Tk7OHbt667czmlg2tq3XfqV/c8oTqjquiIA3nMtecIbGPa6o/OcU2cfmkuuZUjJz5OHOOXMMWhePidFqhiq02Xrk0NlTvo9sERHsu/c6XwfkUqTo+Eh+qbfwdf2R2CXBM8LjB+xRVlchkAm6OddfHdomtWThHKRInvLvApQTXvVKgeeKtdIubJ7IVnpgn6Hn+YmxAbCGy81x1fe2FIbpRREypbvr1rXHycuq55I5iHoM5ykowvbvrp9BvwPvc1i6u2cxWUfh6+geJEB6V0ocP350m6XmZ8arZbFEBcBBL4+lDA798/R/e+ehy5WOWLg1V45nZaTLzMt6XUyo+qbs+FScpAn0Q8Hl88NW2ofjSt1SPEJ7nw+9c+pwvk/MpAo95sevrdilblIbHxB//oJLgLexKeiRWPQpzglx3m+CPwlCh0Txxa/xJ1SPxdWMjtfyRuBSPwpx5q5LfTWxoWRgbG/hS9+OP/66niMERzz5B+JEz2zb9kzzqk9cHBs/iQoGDddD3ldq280mvx1LaGhwbuHFwlCxji/LQpSGy1p4PU6bUvTs/Tg6kjhxbI7aM2Oo8/M6H6jg4fufL9HwCfq0W02Oijz1k6ObeZPIdqMA3bUvtJGMDX0+9+ZHyWpU7/KYLLRd+jgq6CxhBrrtNuHni8cdP5eWJty9384Rznt8+BI/E/DwvXzTnyWz+L8n0Pfi9tclkzaZ74yvTu196dP/pPy5kqwLh+TjsHFS22ZnNEGyRETWL125ui6cO9G59vVfXeoB939Ece+zff3Xgf56pIp9niwsoSMP0mvdmkvRlqsczeqFqG9MFj4Ih4Y/t+/al/scAaSHxGy5/la0KjNe59DtfJucToK0W1aOwgN8xQeYd3J1exz7mETQflBPzGuLboeVy7viRrxZ7jmyD5YnvsY95pI6Nrmb/pdQ3xF/g5zlV2/jB3Gkfu+cZWpDVM8mp9PjZBdmK1J3bfeHChWmZNJkD//fd5uInBXPCndZ7+vy5c5cZPS3J+A6MQOYhqf23m/TfidS3tm+Mjw3MUb1ewaluWtYXTw9VD6XJzWyREjENcKduao49JY8wO4MH6Z/KAybFwPvDdu9O/b3uETMIXufS73z5reetFr90+h0T7y9rTyRmua3b7B/cbSMZdLpEQEFZODb8+Rd/9e/JYs+RbfC+vfZHH52tzBO///0stqlTIY0NT3PPszRiC5Vktgx8c/m6v3PLANy8xb5Dz22u+yglv0fopC925fTpHxeME5jgWwlefkP81Zba9H+ILa+8PrDsn+rdKaisWje0rCa7u34sPwJyYJuV98Z/wD5qkdPgtIzSLzvvBjppgOY5DP+rXtcJC+8Pyz6Ujnt1jJucD0B1Ljl+58tvPe/HW9ZU3ccWKfE7Jl1/mdxXBuQfd+6Fdd3ySwmcv4Z4+q10OlbtN8hhet0rFfn6bf1VajPNE1dckTc6zvLEJyNjU93HUPE8z6+78l/ZYhd4nW19M+nY+9RPUvw36JsPjy5fyvcvbHNYtc30hprUcGdyN19Hy/4999+/9OpPhxqAwVBaFRJ2Cd4j7BpfuiC5av532CJrwVBaGErLBAylVUFgBz6ChAcrwQoAHt9gZkCUXQEIYgtYCSIIYjXoGEEQxFrQMZLF9k70SgQHRnBgxAQcGEEQBMmClSCCIFaDlSCCIFaDlSCCIFajrQRh0jT1d0jhxmUHAbyoq3I1ePkpdDBngHLaGd1fIvG+Kvw5/55qXbnhdYzFcKkcHog/nvmalzMpBBuHfleTr918r/mujG5fXmWrGFj6LsJ+s/+W7UBVwegwXJT+ZO+BFCFz2SIKhHSCWHjgYthfvf4NHhcPPsth36FifLWr+/8OjJGv8+/Bch3q34yfaE+0Lmmc+u4Hzr7ic+Dzn/uTHX2p2O0tG+7/xqLpJ96j34u3HUi0fmqjsw+Y/N+6xCQAKSCPJNLjSZH7SLztZ/IUNNVxudsLqI459934nHsSi1vObe38R4hQws+b335M1hdcl+z24jY8DcPXr9/1/dv++DQ/FliXT2wczu+Mg8lH5N/k87NNj/tSUC6jw175GvInneq4m/wYznXdkWdvowFA2PkV8xqpbXlFLF/ufkExkV3+6X1bHn6J3EH4uZdHh3X7EvOkWLaWr7uvWZ6H615vXbnY0v3iQJoshzxwf9P5vmz69mfL5UFWLvc7ARhy84PLAe3osOjvECNGqDK3znvBJ/Ob+ilg0vWqZPIL/LdosESSuhIm61MhDrtIkHHmr0p+B4InQBAC93vZi8IDDEQRa7AYxwj1iCiOmX8XjqNhSvUodT9oYg+6+5F8JH7rZbx8LnyWCezLyz8h/ib8hfGn2IpXvobW10u7yUNQAcK5hqAgNG4kk0KBVCvz1U1PwDK2OxdaRrM3fp5/4LteNx/dvnRlSwyRL+JZLtILr+Tlgh13nVAu11xHMn9694PLShoDNCx5lSDcYVT+DhXQ1NV5LyL3U9TWnJw6daobkgfMViaVa2hK5poYmitGYfHCz+1i4n4J43MJSxgXjc2oIqTTcziWmQOx86BCUk2DhDLqFRRWhW5fFF3ZUoWsr1AHS14lyONyqfwdeXh4L6BpzCfzh/VTOBkkft51QLCMQf+vAe6sz3YO7CHNd3QXHQo9pGvCuTGoYxq6QVW3bdpp0ofzfubMfDmDciAtpu6XID6XsARJj82I+Vp1fZ2o6Z+Ms49qzmWuyZAaUnOuP077AwP0CSoxKFsuYrlgMQSdhlOsQVcuWLnc/UnzqmfChroqNYqBkZnn/fwdXt4L/tgX1k8hFygnBl/qJA/1Dn9Q0bDN3U7dZOfAUJqQ6qhaiHL8PC/XBI+/RkOOZ1F5bgG4I9NHorGBG7s3bvxA7igX47jRvqK7Fv1IrEz5ep2vRIVT+Xr7XLzIiy0X0J+C5Ij2RjE0t3dk/lJ4xKaqWTJAure/sYWtNMavbKmQYwjSYKfxpUfkcsHKZYaVy6u0rcsyIK8SNPV3QF8Q7b9QeC/8/BTQj8hPuCxLh1bk61t7e6G/gxcose+K/9G+jatnnIIKAgr52mTyKtrnAn1bPtGsTYG+jDCOEZ4GnY+Dp5d5EfL66/L73wq9sHy9zleiw8/n4kVemgL6UxAHVb4ujoUn2lvrN8L/3ACwIaJ+e5YtjcOXlYuDbrlgBjq22oXl8xqaP5wy8Re7fv3/HmKry4r8lqCHv0NG5b2Au52fnwK+lzvpq77A74pwQulI1dVtp/wCg54dTy+IVc94g3104RUX+AnYoqII45qAx5uaWnLyTOb9+WyREueOmj5vapETcR+tDZ0fsL2JzyUsQdNjE7p8Lfb/sUXMkTPzd6ouEJdsGa0hGVIq0ZiubInklYtPWqritRdeY6uUQLlsYOUy2/gpu1dl8ipBSKzj7+j6qXhX171fJHsvivFTwAgWfWVkzYLvs0VK6Ih0Kr4EwshDk3vwyMVb2SraBN+fIrf7XURTwrgmnBG32I1yH4nOi+Db/6ohqPvF1OcSlrAumkpHl695d8urg+Nt8Jk/bfj6T7IV5Mza9O/EwS4vhWgQ3LJ102efY4uU0HIRS7/tlgup1agql79i5TJbH5RdUIfL2L8udKie9JCubZt25szU8G5T/RL2wQUqTXgt5dnOrj07ajYdnU8vRpvGT9FLRo6vjNfNI4UjXqzyImSgunvjQO6E1ra8suGuj5Mvdu59Efr7nIW596wuTs/eEzuTLyTE97DgPaaI+qb4o8bAtjMFlZoI7RvbTdy+FHjVpKm6Ku9RlnkR9gy4x6HezhSnP6eb+kqaFtf47gOuFfhcUqzf0hT52OARWPVIFzQ9NuCVr+G1Mrgem7Z17XTPr5B389/DTBP6ffa9RXe1/Gi4s29PIkWcCoUuX3BnNsPSjzK6fSnLlsG7fLRc3Bp/MlsublJ5RKC1mi2X27Pl8gtsCT02srvrf5PFSbagfMBQWhhKq+Kw/ZrKL0sjarQvSyMIgtgEVoIIglgNVoIIglgNOkYQBLGWRnSMYCd6JYIDIzgwYgIOjCAIgmTBShBBEKvBShBBEKvBShBBEKvRVoIQDIG6DxI976vmg8pzYTnjBw9+S5wjDPMRSxldxE1nMTHVJhDmXUDHiEV4XXO//Kubtx+GKPdlAjvuye0YgbmtK8lO4sTJy83Z5ZExwFUhziPlyyGUN49kC/MWRfeFjBtlI8914fzW3HOvXwOBUnNzGxlsDiW4FXSOBralL/JIoq9LgaWVz6HNn5fpoJpfm/suOkZKTbmMDotliS3KkitH0EAI6hjxKi98zr48Ohx4X4r5w+71rkDHSEEABdcxsn7Zl5xoFqtIR0d8Gpys3v75HX5hrsKirLyqm95dm2y6in0SCnHdrmvfebX+WcHRQBav/TUN/PDaoUfiNyx71SsShx/gUiCH998yuLj+JjGmX84xMrQ3w5YBYuGnGRsCSN5W+7SYBtExQjPrg8nlTbBCmPResB+I4NvU2sczt996Gdcx0nD/Pjk2IY8lB2nghRUCo4rXAOLle1VsQdNjGxC0Ahwjq9hnCKgAN3UIJDK3evCU6BiR8++H3AuS2bqra4SsYLtwCXKzdx0jRe7Ls1xQx4hTLthx1/HjBsdIpnPkOXCM1F1RfiH48x6HoTCoHCPFBG6MEi6GgTBafo4Gtigc6BgJjEl6kBxhHSNhiGxfNjhGwF9whsQ+VsW4M406HRbq3qDRptV9kIAYNy20o8EEdIwEIkh6bCYSxwjDpLyYIu5r/+k/0rD5SmxwjKjuTqVGDvG9vpk8NtCZHJIHU5zYbLFbgli2igEdIw5imtAxEp6obhSm5cUE1b72PvWT1I4jF1eyTQpAx0iRQL+RW6AkvwjHCdtPfiaHaocmdzq+9JCqEioF0K+BjhEpTegYCQXkn2gdIzl05SUM7r6Oja5miwpg5cJOx4jjP2hMXzdr6ijcQWZcTU7JLg/oy8iMkTnsYwE6v4gfTpObLBFPtqr/z8jREAB0jJgRND02wQfzInOMlAGWOEbyWyiqvi6VU4I2jUmccF8wZICzp0mgQs5DkosVHt1vbctJsRIK62gIAjpGzEHHiJqoHSMyqvISFravb/rtywrHSNt4YkFfZ3JogC0D5GH0qnmr+tc39zzWlbcde7+PnCA7Er2/cd6Pyi57oLqPbVAAnCD5XUB4zOK/Ba1AMNjFmu94SswcUGF7ORqigI+Ko2MEHSNh4BVUlI6RQi9IfnlREeW+AFoubkXHSMVQLi/WItFh+zWVX5ZG1PDzlN8niCAIYhlYCSIIYjVYCSIIYjXoGEEQxFoa0TGCneiVCA6M4MCICTgwgiAIkgUrQQRBrAYrQQRBrAYrQQRBrCZ0JSg7LeTPMBdysKfn+WLmksKUOZ1/gfkLPplIZ0IU8HSjY8QevK65Vx4H6HcVeTxMPtLtC6b39SQS70ddllgaJ59jxM9NwZfBdrLTosBxcbplNvcZwDIR1ZxhCptXqfOHtNb9JkW9DfG2A8xfcACCNoiOhSDII4nuPEt0jKBjpEiggnPyZ3SOEb99wid5dFi3LzFPwvf/3J/s6EvFbl++7r5mOQCqe70r0DGibAm6boqQLQu4uF4VIMDj6vHQWh0dD01rqSWvQFQK8IeI/gUI6rC+OfZDCFb67tTGD8DbABcCggK0bmhZHXUMRHApqKIx5xwjZC9bRIELz48D0kkDSEp3ddEx0jClepQGs9TE53P3I0S2BvzWy3hdRzGgJo33RsgJKIDO/nOxDMXfhD9xcn3Q9NgG5E+aV9k5ogF1SepKCNQLjQBdHoe843pBssvY7ihe+2SbFKDbF9dV8AoUgv6CjuHo8fNfY5vk4VkuqGPEKRcsjXVCGV1zHcn8CRwj9AtlhrISLMZNAU3grt0z17U/sKhdVwGqmDB/iAnoGAmMSXqQHGXjGJFC/M+ojr2hjQJthWNEIJSb4uyhm7duO7O5ZUPr6qCPpmH8IfyRmjTf0R1pxGl0jAQiSHpsJkrHCEfcJ1sUjCANCxscIyJOoQ3mpkgfPnx3mqTnBY2WDCcqiD8EtoeOXOYvqFY9fhYLOkYcxDShYyQ8pbhRFLtPJwZk6mRvMvkOv8ZwE2erlVS8Y0QmqJsC+ohov8a2nU+KfUN+bpGg/hCxP5E7PXbtG3uYrY4E6MtAx4iUJnSMhALyT9SOkSj2KYuW4I/2G14945QcLZrDykUFO0Yk4ECCuikcWUvqQO/W13t5q8HLLeI0p8P7Q3hlJftOoiDPpYCOES1B02MTdOQURmAjdIzo9hkFZ8fTCyAMPvuoJK9cVJpjREUYN0V9a/tG09ZZUH8IjBzL/gIIYe534cKAjhFz0DGiphSOEd0+i4W+1ZGKL1l202efY4uUVLxjRAZq8aBuCvgOvLrybGfXnh01m47qRqagFRjUH3Lx4vlrM53JFxLie1KCmyFK0DFSeGzwCKx6/ELHSCH8Bh21Y8Rrn6oK1Gtf+Y6R+AmTd/nQMVJhlMuLtUh02H5N5ZelETWeL0sjCILYAlaCCIJYDVaCCIJYDTpGEASxlkZ0jGAneiWCAyM4MGICDowgCIJkwUoQQRCrwUoQQRCrwUoQQRCrCVUJwnQ36kVI9LzvNVeUhtPpGXw+SJgr7k5QuhD47xrE4ytX+PGhY8QevK65X56m39W4P7zWqQi6fbGw4568jhH2kcK9B3DBuN8Alq0kO4kTQy/fcQC4kS4EHwdbpcTdt8YdovMxtFYfOuXlKvGbjC6PJPq6FKRjUp0v1fHmvouOkVJTLqPDYnlhi7IU5xiBPXitA+TRYd32ectd1POH3eutKxeT2DGiDKCgy8yj/b0dEPElexK/5Jz0VaSjIz4NTmRv//wO8eRwp8aKFZnNu948vuLUbbVPixdKBib4gzthFfsMARjOdA7/HNwhc8ngNaKPgSxe++v1pId0vXbokXj2gq5NNl3FviYUdLOoLyrApUAO779lcHH9TWJMv5xjZGhvhi0DxPNFMzYEkJSOV3SM0JvFg8nlTbDiD3+g64GC/UAE36bWPn5z8Vsv4zpGGu7fJ8cm5LHkIA28sEJgVDHYBcTL1+UFIGh6bEPO0/BkBDfskeMr43OrB09p8/QNy179kHtBMlt3dY2QFWwXFNcZolinwm97XvGyj1o8ywV1jDjlgh13nVCW12Q6R54Dx0jdFeUXgt/4cRgKCo37J4WO55FWSOroEjFYKo2NFm946yv1jdtiY8Oxt9+5UM9WBSaIc0R0lbBFwUHHSGBM0oPkKMYxEtQ/EpmvxDbHSAHnMtecIbGPVfHvHDdCzvgGrTEeiZnH5JNPnBf8jsndIUF8DKKrhC0KDjpGAhEkPTZTCsdIFNA8SaO+97y///Qfadh8JTY5RlReCdWdSwd/9IOLzVuKJh4QOpBShDsEvh/EVeIFOkYcVHmBrQqVHlspxxsF7xLhUd/XN5PH9j71k9SOIxdXsk0KsMYxAn09bjh85pWQW3te0EdhMnQzF7jQymFs4OvcuwH9R27BEpwjUGCLcYcEdZV4Af0a6BhR5wW2KnR6bAPyT9SOkVLgqDHIz1LHRlezRQWwcmGPYySP6TXvzSTpy1SPtY4boTF93aypo3DHg2jRbFUe3EHh5Rzh8EoIvASq/j/Zx+A0y/NdJcWCjhEzgqbHJvhAXZSOkUuNdY4RDhxIU3PsKbn1IveDOe4MeLUlMStX0SWroOUjD56IQPNZ5w4x8TGoXCXFgo4Rc9AxoqYUjpFSwcrcN/0aElY4Rmhfj8IrQZvL44kFfZ3JoQG2DhCH2J2BibaCgQnnovcSeD2gbh4pHKlyvAQad0gN8fIx8Nan7CopFt6fiY4RdIyEgd/Io3SMwPc+3L5xi26dKv/r9lXoGHGur99IMi0Xt6JjpGIolxdrkeiw/ZrKL0sjavh5Mu8TRBAEqUCwEkQQxGqwEkQQxGrQMYIgiLU0omMEO9ErERwYwYERE3BgBEEQJAtWggiCWA1WggiCWA1WggiCWE3JKkGIFGMaVUTnPmCOgrLxjcjzfznjBw9+S5wTzdOt84i4afdxtCCVgVd+8MvHurIRFK+yxIHpdVFGAmK/WfaOkYJKEE4EPVnuX66g8nXixYSJ34PPJPbKF/jseHqBXyQV/l0aauv02dk8E/CMsenI/DU0DE+qb4kYcgsq2GTy1TdrNiRWr79+eBfE5ovq4umOH9J6bCT1bTmKjrN890MQdzB3POTJexIb5jWOdK0QMzc/Lh5/b9O9M7870JkcEo8NqRzcfMzmazvxF83ysbZsjDsxN/PzaPZPU4n6lSUOpAXmF9NYmIq4f265UFSiNK09iT2wHuoB9pvH2W/Ozv7mYkLix3kg1nJD2RLMiyEnxbVzvRURtGBc90Fz7IdsEQUm+4ObAUIPwf/BN8JjGUImEN0MENQBvq8LZBoGr+P3QvSINEypHqUBK4UYfK6jpaNjGkxSr5q3qr+j46FpLbWpk739ox10J0jF4OZjlpdoQF2SuhJumH75WFs2WDxKvk8n/5BXdNFnvMoS24RWrC/trrm7vT3+IFukBBwjqijlOccI2Quf2W/WCb+55jqS+RM4RugXyozAj8NReivCuA+C+EYuDWqPCNwdgzhakMqmGMeISBROHe4I+cJFn6jx1jtGBCbCW8GBu1RY38hE4wYXVXlEAjhakMqkFI6RIE4duSzBMui36zvdMnvFbbVP0428sNYxoug/cAp7eG+FCXDyivGNFIPf8Xuh84gEcbQglQdUFlE7RqCMmDh1dGUJ+vIOvZZ6RCUG02GnY0QT/j6It0LnFPFC7Pvg3o4gvpFiMDl+L3jaRY8ItvbsBSqbUjhGTJ06urI0tm/XwxD2P0iXFPTx2esYkYCDNPVWmDhFvGAn3tg3Ugqg727G1eQUpIEtokA6MmNkDvuYR55HxNDRwhYhFQJUFKVwjLh9zAGdOmJZgjc4SKrvPt5A4UK07sf7TnqpN611jKjQeSvgwp89TQILhDjQlC7GN1IqVB4N+jhA4gT6ebw8IpARTBwtbDFSIZTKMWLq1PEqS9B1k2ucMA8QhOl/tG2OV/+dFY4RU6Bgi94KuDv1J3sPpKgnJH6i/QHvESt490jpPnhg+vfC+kZKCbzSsr6557GuPMdK9jgTrUugdXvRxyNi4mhBKgde4UTtGLn2wvA0Y6eOp7snHOgYqTAwlFblgaG0MJSWCRhKC0EQJAtWggiCWA1WggiCWA06RhAEsRZ0jGTBgZHKAwdGcGDEBBwYQRAEyYKVIIIgVoOVIIIgVoOVIIIgVnNJKsEg/pEwwHQlGoJ8Av0jpnDXg8o3UQwXjwzeOhHxHZHgeF1zmGoK4e9L7RgBotyXCey4y94xUjA67M5ZhPmFQtQLwI2IMUa+DuGmICxQ0O1hOXxnf/X6N3RhhaASg+CPEPuMLXKAecVr5/3NsZ7Of4F9sqVZcvN3nfTEl8DnLxzvj0NkDK+5ufJIYujjFxCPlZP7bnzOPYnFLee2dv4jnVi/ftmdMP/Tbz8m68VzyrcXt+FpGL5+/a7v3/bHp/mxwLp8YuMQ9n3GweQj8m/yc2l63JeCchkdzp9Lz8nlVWgMdO0mP4ZzXXfk2dtoIA12fsW8xucMQz7JW+6S2yd8kkeHA+/r0eVL6664Ii9KtHu9deViS/eLA2myHPLA/U3n+7LHvT8VbzuYaP3URvp/Eq9S7fdSws+TMoACuATI4f23DC6uv0mMVcYdGgsXDu3NsGVA0O39cGKRNV3FPgqFt27XrMs/+vBYdpmqYoNMdyQV+2LLhtbVNEPMW9XfFk/9rO/IsTWr5s03DlAQ+PiFwk8zNgSQvK32aXFyu+gfoWl7MLm8CVb84Q90PVCwH4jg29TaxzO333oZ1wfTcP8+OeYcTIIHBwqkgRdWkD+J5/Ro9s+rYguaHtuAACPg91jFPvOb+8jxlfG51YOnRMcIWbz21+tJD+l67dAj8RuWvfohd4xktu7qGiEr2C5cggTdcH0lRe7Ls1xQx4hTLthx1/HjBsdIpnPkOXCM1F1RfiH41Y/DQV0CJXYPBPEoVJF0NU8HVJ4Q0gtC+NCVppTseNT+ERU03pwHfuuBKH0wfpikB8kRlWPEhMj2ZZVjRHQJsCjQvJWldAkE3T4gKo8C9XjQYJA5JSgP7UXD4/f0HN2ysfu3EMxS15LREvJ4oA9EFxsQWrda/4gClYOCA2kxDdU+ET6YIOmxmSgdI6r8HxZxX17BVK1yjAA86CNvuUAQx6H40rfkxypO0O1NcWKy5TwK/DGOB4Jc30weA3cvH2i5/Ib4q6AgJOn0vII+xQAEOR7uJOF+WZ3+U+cf4YhuE9pXdNeiH4mVKV/PvcUmlbtT+Yb3weT5VqTKO0x6bCWqG4Vf/g+Cal97n/pJaseRiyvZJgWwclH5jhEAWlUQhtt1CYykV3iF8g66PQf6ktxCpvCP+HkUaKDSOPkZ/C5ktO0bu/8T+j/golIn6+m+2WFGxIIcD/SN8YzEHQ6pNz9SuleYeyHPP8JW5e1H5Tvm66EiPbNt0z+ZZvwgPhiZvDQJDmUgbHpsA/JPKRwjgJj/2aLQuPs6NrqaLSqAlQt7HCN5LgHSQvxCeQfdHvDyjzhNbXOPAg1nL4QcpxFws833sE7fMMcDjzc1teTkmcz789kiJc4dlflHAuI+WhtmfNje1AcThqDpsQmoKOgIbMSOkUtJXrmodMcIdQnUptOuS0Dq55Ix2R4yhal/xMSj4Dwuk9vdinJs+Ma337lQT/+fxatvzY+gxw84gzixG+U+Ei//CFsUCJXvxAudDyYqgqbHFkrlGOEU5P8iYPv6pt++rHKM8JbUwLYzBYVahef2n/rNtTsSXb8x9Y9AK1DlUYATKr9DCI9lzujXKtIWT7yc7/CAd94WfSNIxuKYHj/tG+OeiCzwygH3inCm+/hHguL0fXb/B4zUNS2u8d0H3I1FH4wp8rHBuVY90gVNjw3wCipKx8iGuz5Ovti590V1/lcT5b4AWi5uRcdIxVAuL9Yi0WH7NZVflkbU8PPk+TiMIAhS6WAliCCI1WAliCCI1aBjBEEQa2lExwh2olciODCCAyMm4MAIgiBIFqwEEQSxGqwEEQSxGqwEEQSxmoJKMCpXhTxXljN+8OC3wgQz4MBUJOoPmUBXQpR4+SaKAR0j5YvXNYfpoZXkGGHHWvZeERGlY0Tl//B1DDBXAcw95P4KcFmI++HbQagr1fxE1bxgCsxzdN0i8TkQov7P/cmOvlTsdghPvoi8TnTf4z4FtqQAeSQxyHHCseXPy3RQza/NfRcdI6WmXEaHoYKbzI4R9xpXkFdEhJ8nzwAKMlG7RGScGGRqt8iM0YNf5hUgvdirkt9pI9mCTyfsN23WfS9M4AR0jDigY6Q4IGjFZHeMVKpXRCRYn+AEOwYK3CJSSKwZ1bE3aMRa6TEiiJNECTpGAoOOkWBMGsdIhXpFRIJVgiV2icgUuEWkIJQ6VE6SQKBjJBBB0mMzk9IxUqFeEZHAo8OlconIOLHYcm4RJ15d6mRvMvmOc8HAw5F249xx5O+FBR0jDmKa0DESnqhuFLwbg0djnwjHSCV6RUQCV4LMMRDYJSIDfUhu4TJwi8gXzLlosR+Sq2ecEisKPyeJKUGOE/rGeJrQMYLIQP6ZzI4RVhYqyisiErgSBPzcG1BhzbianAKnAFtEgUfZzBiZA/+Pwi1ydjy9QHQKm37PFHSMmBE0PTbBB+kmu2Ok0rwiIqEqQRP3hso5QZvRJE6gT4QtUmLiFoGWZF8qvkQc/DD5XhDQMWIOOkbUVIpjpNK8IiLKV2RoX4/rlWDvjDkfKNDS83NvVM1b1b++ueexrjzfR/77TCqgNWfmFsnfl+57xWBynED++XJeOUDHCMIrqEpwjNCycGvleEVEMJQWhtKqOGy/pvLL0ogafp5CPQ4jCIJUClgJIghiNVgJIghiNegYQRDEWhrRMYKd6JUIDozgwIgJODCCIAiSBStBBEGsBitBBEGsBitBBEGsRlsJwjQ06j6QnASyywLmPA729DwvzxmFKUM9PYPP+8XNE/FyMQA6R4Lf98qJUqUVHSPli9c1d8tZhThGRNhxl71vpGB0GC5KoRchN2cU5iEWuCxOt8wWXR5u5IyxnIsDlutQ/2ZubrC4P9GR4Pc9tsATeSTR16sgHVf+vEwH1THnvouOkVJTLqPDfvnTURKUr2OELaC417uCfCP8PBUEUBjt7+2ASCzZE/UlXqnpoJFcpAoQ4D6NFSsym3e9WejbkIHJ/ToXQ9080q9zJPh9jy0ODDpGHNAxUhxe+XOyOEZEKtU3kvc4DIWBxuNThIeXgaZu1+6Z69ofWNQub0vjosUb3vpKfeO22Nhw7O13LtSzVaGI0rdgBDpGAoOOkWBMGseISIX6RvIqQeMYd2cP3bx125nNLRtaV8t3fWga8yjMPB6ffNL8EF0MbJERYb9XADpGAhEkPTYzKR0jIhXqG1EMjMw8L96dVKQPH747TdLzVFGR+WMfXGgej09lhNMRtkBFXRDRMeIgpgkdI+GJKn/ybgwelX0iHCMilegbyasEnTvRmY8z58g1bJES6AsCv0dq284nZTcIfRQmQzdzIRKtGMYGvs6dG9B35BYqyS0CrcgwLoaw3/MC+jXQMSKlCR0joShF/uRMhGNEhJWLivKN5LcEp9e8N5OkLzN5fHVOWOpA79bXe3nrAO52EN2ZbiDBL5LOLQInlI5USS4GP8J+zwR0jJgRND02ocufk80xIlJpvpG8ShAS29Qcewoec8S7uu79ovrW9o3Q6tm1b+xh+Oz0KcZJeyIxK1fRJaug1UNSR5fIrUYRnYvBj7DfMwEdI+agY0RNpThGRCrNN1Lwigy01OhQ/bZNO3OjC/AeUv0S9sEFKs3WDS2rn+3s2rOjZtPR+VR63lYgPXcueC/RvbrCL6TOxfDh9o1bcu+k5TsSvL4XJDOp4H2a6BhBx0gY/PL1ZHKMiNBycWvl+EYwlBaG0qo4bL+m8svSiBp+nhSjwwiCIPaAlSCCIFaDlSCCIFaDjhEEQaylER0j2IleieDACA6MmIADIwiCIFmwEkQQxGqwEkQQxGqwEkQQxGoKKkHZVVEqdwXzD3wS1HkAU5F6Eon3TWLylSv0GAL6V0yBOaiDzyT2wrnVeUwg0AX1WkQQiw7xh+f1UjhGYEqcSfQek/Jmui9T2G+WvWOkoBIcPTbwgBhFRv7MgRMmX1heAHWFD+AXfdOR+WtoiJ1U3xIeUsut4OBiiX8sg8BvJjszLyxLJG7Y9NXMExCTL+rwTfy4VJlFVcG42wt/XscP+3j9lwP/kE4PfIsHngDEfRf+OZWV6rf48fPvb9zY/QFM2N+QuGfezN1d68Rt+Lnn8f823TvzuxCLTg5phkSDm9fZfG0n/mLuXENYuWTy1TdrNiRWr79+eJeYn/n1pN89fXa2qoKE78OcYF38SsCrvLFNKHn7UsT98y0XPYk9sB7yPvvN4+w3Z2d/czEh8eM8EGu5UdTjsOuwCNCagIn84F2AsEI8AAOPYchj7fHoMx0dD01rqSWvQKSKay8MT4PIzjyaddW8Vf1RxVGTAZeCKhpzzjFC9rJFFDHmHsRZ9Aoiy/exYkVss7idGOCSZlZCTkCABWe/udiC4m/BH5/s7kYr6eiYBnH/qqc0jNLzLGzj+mOy28AyOIfOOU6d7O0f7YBtkOhw8zq7VjSgLkldCYF64YYvOkZo4BKI0ckqNNcLkl3GdpeH8/2au9vb4w+yRUq8yhvbxHhfnuWCOkaccsF+s074zTXXkcyfwDFCv1BmFFUJltph4YSlis9Z1lTdB5+rSLqat0rh7nP2NJkN4Xngc6SU0KUQtX8FgDuvnxtGtw2PlOMX6gyJlmIdIzwvfuGidxR4E4z3ZYNjJAzFOCzgDgT2LdJ8R7cqbP0xGpprPg3NBXcUCD1EHyl6eo5u2dj9WwhUWZKQ7iVwjABQcRfrX1HB4zh6ulXOZa45Q2Ifq+IXmkYUR4ojKscI5DOwPK64rfZptsgIVXkLtC97HCPBcKIKB3NYwImBvj/mH6hWPT7CNvtTsVtaFtc/wRaxmHXkFZJOzxNjoJWCUjhGivWvAPy36J9XZzrfJvsH/UyqlgcycUBlEYVjBG6kh15LPWJihOToyluYfVW8YyQsOoeFzici9v0x/4AbnZoDTex0fOkhfnIhE23f2P2f0E8C36N9Waf7ZnuNdhUDtDyjdoz4+VdMyOsTZM4PuSUHfX3uOYKbRhZs7V06IP9E5RgZ27frYXgC8gt8KqIrb6H25ZSLCnaMhAQOWOWw0PlERHhlA/4BtijXfyWcXPrIV9tykns+JqIvK0rHCByTn38lNCZuGI9tHLdFY/q6WVNH2SIkIqCiiNIxcnY8vYCk+u7jjQt+I+3euOW3Jl1SYnnT7uvxvpNe6s2KdowUg6nDAprJsn8AQpCLAxy0iS1UeC5jwzeKAwlebt4oiNIxUox/xQ/IZLy/VPd6Dmzj+GPyR/P9+jGR4ojaMQIDJgX5B8L1d3z/L1RdNV7lTbuvR9vmePXfVbxjRAXth3I9E7FxGNaf4Xxw4QXR12Hh+AdeSBAyly3JcyvwFlOs+Y6nxMzgvBKTeLmvMzk0wJY5aVn0jVIVXt7ajMIx4gzyBPevyMi/BY/H8IgF5yexoWYh+F7E9dnUnGinAyZVjiFwPLEg/xw66Q3ySISYwSucKB0jgd05PuUtDLRcoGOkcsBQWpUHhtLCUFomYCgtBEGQLFgJIghiNRheH0EQa4Hw+tgSRBDEanBgBAdGKg4cGMGBERNwYARBECQLVoIIglgNVoIIglgNVoIIgliNcSUI03jkUPYwxW3H1n/rHtyZ+IVunV+YKBr2qUSRYMoRHubKKwR/GErlgkGKx+ua03ISwjESJh/p9gXT+6jWIuJyyNJY9o4Rd3TYjXYxRr7O1gnExpubZz65ezf5bnuidQmf/0rnN5I2sqnh6PZN28iTqnVi5AyRvN8T5kTCBYHAjwXxArPbbFg772+O9XT+S34a4yfE3w2KPJLoztmE+ZVS2sU08zm7+XM8Hfg69pGS+258zj2JxS3ntnb+I51Yz47bbz8m6/dXr39D3l7chqdh+Pr1u75/2x+f9rredH74weQj8m/yecamx30pKJfRYajg+pO9B1LivF0hv0Koua7d5MdwruuOPHsbDWTBzq+2fPjsEz7Jo8O6fYl5Er7/5/5kR18qdvvydfc1ywEU3OutKxdbul8cSJPlkAfubzrfl03j/lS87WCi9VMb6f9JvKr90eVL6664omyiT/Pz5AZQgEnR4Lhoyv6fn2iQ8fCJ9XCgU0a6v/rqYFNbXTajO5PDY7e0bKj/9uWzPjfaUtt9UrUOvqvCdShktu7qGiEr2GIWh6zpKvZRKLh1u2Zd/tGHx7LLSj3hH1wK5PD+WwYX198kRubIOUaG9mbYMkAs/DRjQwDJ22qfFie68++6mZWd6+yJp+uBgv1ABN+m1j6euf3Wy7gOmIb798kRRvyuN3A0++dVsQVNj21AUBHwe6xin/kNHoJlzK0ePCU6Rsjitb9eT3pI12uHHonfsOzVD3Xlw2OfugAcurLG9RVunlyV/E4byd5Mj5//2tKrawqiyHiWC+oYccoFS2MdTyM4RjKdI8+BY6TuivILwW/8OMwjqvCQ82LQU6917OsF+DkUOLJnZEIomUthaC6PVO0HjTfngd96oNQOGBGT9CA5inWMBMFzX1IouhnVsTe0UaDRMcLD26dOjpw4cTs1vxWEvlevKwbRM8IWkdS2TTuhP6Rk3twSOEaghbs0Tl6maTdwJnvFSoS0mIZqL8YBY0qQ9NhMVI4REXGfbFEwpMCunqBjJNcaTPX2PiP7NrzWhcV9rGYVKn+E40Eg1zeTx8CbKw/KREEpHCNwR6baxbGBG8ExK3dq8/3AH+0rumvRj8TKlK/n3mDdY6qIU/kGc8CIiGmSK+8w6bGVUtwoit0nb7hw3QP8wU2crVaCjpEszkkgJ1ReAdU66CtyC1FAybffYzUNEloi9zD0a0TtGAGYe+EqiOIrR3kW9yO6hjl8PVSkZ7Zt+ifTyl/ngDEhL03MacJWhU6PbUD+icoxwolin3KjAv6o5/jqGafkaNEcVi7QMRIEE8+ICqeZne8ZmWiidIzIODeM9PnMeNVstsgY99HasPKH7VUOmKgImh6b4AN7UTlGAN0+owC8I34ub3SMTBBaz4iA87hMbi9VRRmlY2T84I61YqvPcY7ErlR5gE2Y1xDfTlL7bzft6zN1wIQlaHpsIWrHCKDbZ7HAU1tfKr5k2U2ffY4tUmKlY6QU5L9nlu9QuPbC8DSVZwROpvwOITySlep1Gd7PGYVjZHpDTWq4M7lnQEi7ajtTnP6c7v+AkbqmxTW++4C7sZEDRkI+NjjfqsevoOmxAX6TjtIxsuGuj5Ne+1RVoF77erFz74u58hQ/YfIuHy0Xt6JjpGIolxdrkeiw/ZrKL0sjavh5KtvHYQRBkIkAK0EEQawGHSMIglhL9nF4CvYJYp9gxYF9gtgnaAL2CSIIgmTBShBBEKvBShBBEKvBShBBEKspuhKMMqy7V8hwvk4XAlwXOrzc8DrGYsDw+uWL1zWHOfKXOrx+qWBpnDzh9dln/zDaLEw3nz4F24th3Tn5U3UcdBGhISPoQobPJScIXRdvO8BCdWe3ixMeDVdMk9fUIR3ySGKY45ePUzW1LPddDK9faspldNgrX0PedaJxl0N4fTEPqKfOude7ksPriwQNL6/DtFCwcNyakOF1/eK61g0tq890Dv88c45cU1dN3tWFDi8GDK/vgOH1i8MrX5dDeH2OrnEiY1d4/UkURjvKMOQuGF4/MBhePxhlE14/CFaF1w8ZXj4qdCHD+V2PNN/RLbdsIgXD6wciSHpspizD62cRdRX7T/+RRoxWYlt4fR7vzCS8vA6v0Ow6VAUKTiR4UVmo7moaqttgX8UQ5Pj5cWJ4ff/02EopbhTF7lOlq9j71E9SO45cXMk2KYCVCzvC68NzvWl4eR3QZ+RGlWah2aHvyC1UUrh9+B1VyHAoyBCSHvbDw9fv2jf2MFtdEoIcv3icGF4fkdHl62IoxT5dXcWx0dVsUQGsXNgTXj9MeHk/dOH24YTSkSqfkOG8coJQ3WxRycDw+mYETY9N6PJ1uYbXN8Gq8PphwsuHRRcyHJrVcqhuiKzr50GIAgyvbw6G11czmcLrs7L1Tb8nPqvC64cLL8/eMStY7jw+qZruvGJThQzf8MD072U6ky8kxPeiDMKQB31fUAWG1ze/hhhevxCvfA35s/zC6zvX128kGcPrVxjl8mItEh22X1P5ZWlEDT9Pno/DCIIglQ5WggiCWA1WggiCWA06RhAEsZZGdIxgJ3olggMjODBiAg6MIAiCZMFKEEEQq8FKEEEQq8FKEEEQqwlUCao8FjAlR44eAiF+dmz9t26vcFdejgS+bjI4Q4LiddzFgI6R8sXrmtOyEsIxArjlxDBMnW5fML0PQtVFXd5Y+iaxY8TFmQsMYZ1gnewTgQPdtI08KToO6D5IG1FFuICLrnMkePlE5p57/RoIqCrOc6QUOU9YHkl0jx8dI+gYKRKvvA5lxVESBHOMwB7c/da2nITln9635eGXyB2En3t5dFi3LzFPQpr+3J/s6EvFbl++7r5mOQCqe70r0DGibAnCgeTCXRXGtRNxJs6nTvJoGM6k8dgtLYvrn6AbSMBEfnAk8P3TIKMkdSUEL3XXZU8y/B98IjFy5mPwifA4fPx7HR0PTWupJa+UIroNuBRU0ZhzjhGyly2iiOdrfXPsh6qgr6JjpGFK9SgNZqmJz+fuR4hsDfitl3EdI4oWohhQk8Z7I+QEFEBn/7lrnp8XklXi5Pqg6bENr7wO5UR0jECIOTiHPCCv6wXJLmO7cxnt7+2AhgLPP/Bdr5uPbl9OxCOnAoRKGYL+go7h6PHzX2Ob5OFZLqhjxCkX7LjrhHK85jqS+RM4RugXyoyi+wR5pBVeAMA3kI4vPeRVcUYBv4DLmqr72KLoQMdIYNAxEoywjhFoBYLmQdfIUOHpGJFC/M+ojr2hjQJtlWMkILw1OHLixO1BL1BYn8ixI6k1JD7/QJiw4r6gYyQQQdJjM5E4Rs5lrsmQGlJzrj9O+wMD9AkqkQK7emKTY4S7I5y//BD4KnhrMNXb+0wQD4mq8PBOWi+fiN8jdxSgY8QhLy+gYyQ00d4ohub2jsxfCo/YtFuIDJDu7W9sYSuN4Y2X3mTyHX6N4SbOViuxxjGS3w+UC4HvhXNyyAkxKm2pfCIT8cgNfRnoGJHShI6RUOjyengWnmhvrd8I/+MNEJI6uiRof6zYL8z/aL/h1TNOydGiOaxc2OMYKZZS+ESc5jdZ4hcCPArQMWJG0PTYhC6vh3aMTK95r4ZkCAwWsiWRcnY8vcBPXWGVY6RUFOMToc3v2paTUUif/EDHiDnoGFETtWMEKsiZtenfiYNdUfWPw5NbXyq+ZNlNn32OLVJilWNEBe0HknwiQR5LecUWxicCrcDB3el1seY7njKpkIqFP2qgYwQdI2Hwyuvwrl4Yxwh8b9FdLT8a7uzbk0gRp0Khyxfcmc2w9KOMbl+FjpH4CZN3+Wi5uBUdIxVDubxYi0SH7ddUflkaUeP5sjSCIIgtYCWIIIjVYCWIIIjVoGMEQRBraUTHCHaiVyI4MIIDIybgwAiCIEgWrAQRBLEarAQRBLEarAQRBLEabSUIU9So+0DyDsguC5jzONjT87w8ZxSmDPX0DD4fJM4ZdyYoXQywP40Hwet75Uap0oqOkfLFM1/zcoaOkUtGwegwXJRCL0JuzijMQyxwWZxumS06ENzIGYKLA5brUP+m42JonPruByoPAsxZXjT9xHu675lOJpdHEn1dCtJx5c/LdFAdc+676BgpNeUyOuyVryF/omPk0qIdHab+Aji5HR3TcmGwklWqzE2jTkgVIMB9GitWxDargqLKwOR+nYtB50GAifpe32O7DgU6RtAxEgVe+RNaX+gYKQ/yKkG4w9BYfYrw8DLQ1O3aPXNd+wOL2uVtaVy0eMNbX6lv3BYbG469/c6FerYqHDoPgsEjQCjQMRIYdIwEAx0j5UNeJWgc4+7soZu3bjuzuWVD62r5sROaxjwKM4/HJ580Pwq8I4YeBJ2vJDDoGAlEkPTYDDpGJo1jZOZ58e6kIn348N1pkp6niorMH/vgQvN4fEFabXKBMvUgRF0Q0THiIKYJHSPhiTZ/omMkSvIqQedO5Hh+2SIl0BdE+y+27XxS7gOij8Jk6GZ+YmnFMDbwde7cCOod8fQgsApC9b1igb4MdIxIaULHSCiiz5/oGImS/Jbg9Jr3ZpL0ZSaPr9AZ2xZPHejd+novbx3A3Q4iP9MNJLh/oljvCCB6EIJ8LyjoGDEjaHpsQpc/0TFSPuRVgpDYpubYU/CYI97Vde8X1be2bxRtcE6fYpy0JxKzchVdsgpaPX53Kp2LQcb1IDDpuun3woCOEXPQMaIGHSPO50nlGKFD9aSHdG3btDM3ugDvNtUvYR9c2PD36mc7u/bsqNl0dD69GG0FF8O54L1k5PjKeN08UjjilT1JWu+IyoPAhvS9vie/thMG/qiBjhF0jITBL3+iY6Q8wFBaGEqr4rD9msovSyNqtC9LIwiC2ARWggiCWA1WggiCWA06RhAEsZZGdIxgJ3olggMjODBiAg6MIAiCZMFKEEEQq8FKEEEQq8FKEEEQq9FWghAMoZwcI4BuDjPgta6c8DvGsKBjpHzxuuZuOQvhGAmCX74rRflhv4mOEd1cUxH1b+bmCIv7k+cFe60zQR5J9HUpSMeVPy/TQXXMue+iY6TUlMvosF++DuMYyVvuktsnfBJHhwOXrXu/9FeqMFru9a5Ax0hBAAXXMbJ+2Zf8KhN/x0hm8643j684dVvt0177gsn94GJYxT5DK/LZzoE9POCC60jIbN3VNUJWsM0oXuvCAi4Fcnj/LYOL628SY/rlHCNDezNsGSAWfpqxIYCkdMyiY4Rm1geTy5tghTDpvWA/EMG3qbWPZ26/9TKuY6Th/n1ybEIeSw7SwAsKBEYVw7BDvHyvii1oemzDK1/PrR48JTpGyOK1v6aBS1479Ej8hmWvfuiTr3llyT5qKaZsyXiWC+oYccoF+806/pvgGMl0jjwHjpG6K8ovBH/e4zAUhnJ0jHg5Ejz9CWFBx0hg0DESjLCOkagJ9DvoGBGYaMfIRIOOkUAESY/NROIYYdB8RKOz97wf5NoWVbbQMZJjIh0jbPGEg44RBzFN6BgJT1T5Wg6Jv76ZPDbQmRwyURtEkQZ0jDCgL2iiHCOXCujXQMeIlCZ0jISilPna0VyQn/mpDaJKAysX6BgBLqVjZKJAx4gZQdNjE7p8HdoxEoKoyxY6RgQuhWNkIkHHiDnoGFETtWNEBh47IYS/7ikFiLpsoWNEACrNUjtG4PWbD7dv3JJ7Jy3ft+C1LkhmUoGOkcJjg0dg1eMUOkYK8cvXYRwjhV4Q55roRngDl63HB35H12neFwTQMVJhlMuLtUh02H5NxZel2SJEAT9PitFhBEEQe8BKEEEQq8FKEEEQq0HHCIIg1tKIjhHsRK9EcGAEB0ZMwIERBEGQLFgJIghiNVgJIghiNVgJIghiNdpKEOYyDj6T2AvRXqLyYcAUnqDeEfqdROJ91dxlo3UGsfsmEuZdQMeIRXhdcwg6EtYxwvdrmsd996VZFxaWvsnnGHEjTjDnwIYHpn/vYPK5AXAUFPglDD0cXst15LaPz4GQ9H/uT3b0pWK3QzjyZbPeHdWtg/BTTvriS2DdF473xyGcly4cuTySGPTY8ud4OqiOTzwedIyUlnIZHYYKLmrHCOzB3a+jwbjz0/u2PPwSuYPwcy+PDnvtq2CdhY6RgpagG3Gio2MaxI+rntIwCo4CiAYjViLgG1BFLM55OMhetojCl69YEdtsEmTVicbiVHKQYSAgKYSKhwn6Xusgg0AEaB71umreqn6TeGsiQY8NLjyPmANxFlXHx78LaW6YUj1KA2Nq4vO5+xEiWwN+62Vcx4iihSgG56Tx3gg5AQXQ2X8ulqH4m/CXlwcCpsc2IGgFLzvwRwPqktSVEKgXnlRExwgNXAIxOllAXtf9kV3GdudCPUDxtgM8/8B3vW4+XvvyWifjWS6oY8QpF+y466CyZEFW1lxHMn8Cxwj9QpmRVwlCBWLqGAnqGwjlHZHCj8+ojr0BFcxZMuVzunXnyMefqyLpap4uuEudPU1mQxgfuqEJ6BgJDDpGghHWMeLe5BfXP8EW+eLlEfFaV4A9jpE4MfIPBPBwQEUUyjsiBZ3MQ7Puo6lfoiGjaAionp6jWzZ2/xaCSQZ6TEPHSCCCpMdmInGMnMtckyE1pOZcf5z2BwboEywaexwjOdyOV/Ynh0839XDwR8Eg3hEnPl3qJA/TD39QwdCV9U36dVmc75JXSDo9T4y7FgTTYwO4awMdI5e+P7BcifZGMTS3d2T+UnjE7uh4aFoLGSDd29/YwlaWFFYu7HGMQH+ae6KhUpGA530TD0cY74gslIE/2m9x9YxT1VXV7+nWXXtheNr2jd3/Cf0csJym/XTf7KAjX6bHBoh9Y+gYQWQg/0TrGFl4or21fiP8jzcq/CK3RwUrF+gYEfHzcMAdMKx3RObseHqBrm+Pr6OP9LUtJ3k6iskk6BgxI2h6bAIqCjr6GpVjJFtGa0iG+MnQSknFO0Z4f5rpe2x+Ho5ivCMi0FqE116WNVX3sUUuBevGhm8UB168+te8QMeIOegYUaPze/DulqCOEcjDM2vTvxMHu45RrcX8Aq1Fqah4xwg8Aic21CwEb4jolqDvN9EBk/yKnLe0dB4O5wKF84482zmwJ9enl3u/ymsdoa/EJF7u60wODTgrs8B7b4u+YVKJifgdG4f2jaFjBB0jEpBPo3aMwPcW3dXyo+HOvj2JFHEqFLp8wZ3ZDEs/ynjtCx0j2RoNQ2lhKK1Kw/ZrKr8sjajRviyNIAhiE1gJIghiNVgJIghiNegYQRDEWhrRMYKd6JUIDozgwIgJODCCIAiSBStBBEGsBitBBEGsBitBBEGspqASnEhXBUwr0jlC3DBeinXu9yYqjlqE8ONCx4g9eF1zCDBSlGPEMDqScRoiDHfFfnPyOUZgnqHoqgDgYHisPBE+jzSob8KNrKFwhCyafuI96k+Itx1gfoIDTgAGZ26w81tm/hAT5JFE91jQMYKOkSKBysXJv9E6RrzWAeLocKg03JNYtaphSl55d6+3DY4RFTyuIP9zfATxE2JEFzh4cb2Xb8LLEQIT/amXIecnWM1jHMIFLdYfYgI6RtAxEgVuXmbnKCrHSBAvSKg07H/9B6oWoRWOEROcE5f+cfzelT+AiogtzsPIN6FxhPg93hbtDzEBHSOBMbrmiEtYxwgQyAvigWcaCCl8LLbBMWICHHA63vay7iJAa80ojLiXP4QBFS6EzCLNd3TDnQruKkX7Q0xAx0gggqTHZiJxjBRJUWmw0TEiA4Wc9sex0N4iQXwTnv6QLHDiYOCD+QmqxRZiFP4QE9Ax4iCmCR0j4SmHG0UUaah4x4gX/ATqHoN5/5DsmwjqD4FCDwUXPBx0f8zZsWvf2MOQhu0R+ENMgFYnOkakNKFjJBSQf6J1jAQnqjSwclHBjhEPuPDZry/CfexjgxXF+kN4ZQR+gij9ISagY8SMoOmxCago6EhuVI6REIRKAyHaNFS0Y0SH8xgcu91U+BzUNyE6QqAZLfsJIES5W0FG5A8xAR0j5qBjRE3UjpEwBEpDtmWn8oaIVLxjBKB9Pa5XIjb+5S/D0He6eiDP25FF8c4Q4OebgJOi9YdMryGZzuQLCfG9Jte9sIpE5Q8xAR0jhccGj8Cqxyl0jBTCb+BRO0YKvCDCOrkcFJMGHegYqTDK5cVaJDpsv6biy9JsEaIg0MvSCIIglQpWggiCWA1WggiCWA06RhAEsZZGdIxgJ3olggMjODBiAg6MIAiCZMFKEEEQq8FKEEEQq8FKEEEQqwlVCUI0F+okSPS8H+VcUZji4+UOoc6CCHwLlxKazgQ6RmzC65q7ZSlEng+Kbl9uuYu4/LDjnpyOEZ1XAi4Y9xXAspVkJ3Fi6OXm/sL2YfwTznfU7hA3CkYI34If8kiir0uB/RY/HtNjzX0XHSOlplxGh8XywhZlKc4xUjjvniFsI48O6/Yl5klIE3f9LF93X7McANW93rpyUWmOETiQXPirnFeChtOqbTn5UEfHNFgGjg8a0w8CpPaPdtAvM8R9QKxAL/8EZBYvd0hUvgVT0DGCjpEogKAVUTtGWJw+GmsT/pzyR17xij6j25fO9XP0+PmvsU3ysN4xAhXV0RRZIoeON4npZ+Kf8HKHTIRvIQ90jATGJD1IjmIcIyK8IhOlZzKe+9K5flRRoK13jJzLXHOGxD5Wxb9zvASOEY4tcoHK0y+kNw/zRMM2ldIdYgo6RgIRJD02UwrHyLEjqTUkPv9A6PNu4Ppxsckxwt0R9I8VWNWdywu+D1P/xES5Q0xBx4iDKi+wVaHSYyuluFFABbM/FbvFNNixjFPm9K4fFdY4RvL6gVi/lVdrTwXfh4lzBDLI9glyh5gCrVN0jKjzAlsVOj22AfmnFI4Rx/y49JDqxmyC2C/M/2i/Ibh+NJGlWbmw0zEC0WJnkvRlcn8A4HgJGtPXzZo6yha5uI+BbJBD5RyZaHeIKegYMSNoemyCjpzCCGzEjhHnMZQs0d2Yw6Jz/YhY6RgB4ECammNPya0Xr34wjpF/YgLdIaagY8QcdIyoCeT3COAYoY+hQsMhClzXz02ffY4tUmKhY8R57IFmPLTi2sYTC/IdH7l3x9jHAvz8E84rMXp3SP47aeF9C0HhLVJ0jKBjJAxOn130jpFrLwxPG9ydXhdrvuMpkzyu29eGuz5Ovti598U814/Bu3y0XNyKjpGKoVxerEWiw/ZrKr8sjajxfFkaQRDEFrASRBDEarASRBDEatAxgiCItTSiYwQ70SsRHBjBgRETcGAEQRAkC1aCCIJYDVaCCIJYDVaCCIJYjbYShAna1H0gRXKRXRYw53Gwp+d5ec4oDaXTM/i8X9w8EeYk8PRvwBQgXbQSr3XlgskxhgEdI+WL1zV3y1lYrw5EYzKIT2mchgjDXbHfnHyOETghhV6E3JxRqGgKXBanW2aLc3XdyBmCiwOW61D/Zr63BHCcDOmfquYGe63zQh5JdOdZomMEHSNF4pevwzhGYA/ufkF1kV3+6X1bHn6J3EH4uRdHh0Ol4Z7EqlUNU/LmmLvX2wbHiOgRyYW8SlapMjeNOiFVgAD3aaxYEdus8m3IwOR+nYuBbUJbli/trrm7vT3+IFvk4rUuDOgYQcdIFHjlayfPBneMALSMxtsO8PwD39XdfEKlYf/rP1C1CK1wjMBdQ+URUQFN3a7dM9e1P7CoXd6WxkWLN7z1lfrGbbGx4ZgYIiss3GPwhYuFka291oUCHSOBQcdIMMI6RqCMUilZyGjSIp5pIKTwsdgGx4hxjLuzh27euu3MZm6HY0sp0DTmUZh5PD75pPkhuhjgM1S40OJccVvt03QDAa91oUHHSCCCpMdmInGMnMtckyE1pOZcf5z2Bxr2CXKKSoM9jpGZ5/08IunDh+9Ok/Q8VVRk/tgHJ5nH4zN5JObIBQoq1UOvpR5RVSxe64oFHSMOYprkwhYmPbYS7Y1iaG7vyPyl8HhLVRRkgHRvf2MLW6klijRUvGPE1CMCfUG072DbziflPiD6KEyGbubyFloxjA18nTs3oB/RLVTMMUK/mAUqNdnFMLZv18MQmlz1aOC1rligLwMdI1Ka0DESClW+Lo6FJ9pb6zfC/0xVFFGlgZWLCnaMeHhEZGiU6XjqQO/W13t56wDuNBDxlm4g4eUYgeVwQulomORiAOcBSfXdxytOXql2b9zy25feSj+kWxfF4x86RswImh6b0OVrsf+PLTJzjGTLaA3JEFPhGRAqDYRo01DRjhFIrOMR6fqpeFen7/so3lWqb23fCK2eXfvGHobPTp9inLQnErNyFV2yClo9fncqnYsBHiEL9gWvDHR8/y/Wrk3O161TPbYGBR0j5qBjRE3UjhGoIGfWpn8nDnb5uYcDpSHbslN5Q0Qq3jFCh8lJD+natmknHZWgwHtF9UvYBxc2/L362c6uPTtqNh2dTy9GW8HFcE52Lxk5vjJeN48UjnhlT5KXiyHq/j5T0DFSeGzwCKx6nELHSCF++TqsY2TRXS0/Gu7s25NIEadCocsX3JnNsPSjSDFp0IGOkQqjXF6sRaLD9msqvizNFiEKtC9LIwiC2ARWggiCWA1WggiCWA06RhAEsZZGdIxgJ3olggMjODBiAg6MIAiCZMFKEEEQq8FKEEEQq8FKEEEQq9FWghAMoRwdI17AVKPJEMkkzLkxhV6PZxJ7vc6je20TPe/jXN/S45Wv3WuhiQmom7cP8P2axBN0t9XsqxSw30THiG6uqYj6Nx0Pwtxzr1/zbOfAnrQw55YizSsud8cIR3duxOV0wzz8nR9538+egw0PTP/eweRzA3BO+TbieYZlK8lO4sRALPS5TGbKZXTYK1/DuZ5Qx0i87QDzfWTTA0FOfMrWvV/6KzEwgm+5mMSOkYJKUFWpicB6XgnSizjSuELeFlo6z3aeefovV2R+tevNxhuDVEqA8/2BPTPv3fRdOVYgzxwgC+IXnf/esvaq7t5/rfl2kN9TVYL7q778GXL49E2NG+7/thiNhv9OzcKh85mr1g/A74vnA7bRnROOybnhGRcClYrHL/+WiN91A1TbuIVNCrM0mSmXSlBGzNet1YdOPds5/HMxj4l558PtG7ccbdi0vSmzdb6cn+h1JG1Ed73ESpAtcnHSkP+7HF6ZDX/RydtsMYXmvQDlgq2iwPr/0zny3Lx17W3lFF2an6e8x2EofOXqGOE4oaric5Y1VfexRZPIMVKac2Ny3XTbmAblRKKlHBwjMrRspeNzl9302efYonzQMSIwwY4RETl2GlTGk8ExAkRxblTwOI6q8+VyLnPNGRL7WHVtTSOKI8VxqR0jvCVKmu/oVsXbdMuW7pEVHSM5JtIxwhZT4ITuT8Vu4XdBqFQmk2Ok2HMD8N/yyvxuJzj7g8EiVcsDmTi88nVwgjlGoNz0JBLvM99HtSrPyWVLBysX6BiBzs+JcoyIQLM7HV96iJ/wyeYY8Ts3Joi/xZ0f8nWrmreq3y0gteQVWIatvUuHX74OTjDHCPfaiPmTR4PnyGVLBysX6BgBJsoxwnGa3WSJeMK9/CNRvPoRpWPE5NyExuS6eWzjeCUa09fNmjrKFiERocvXE+kYEeE3d/B9sEXKsuUFOkYEJsIxwqHN7tqWk2JF5OUf8bujmRClY6SYc+MHXDcIkw7XTfduYO7a5hvu/PoxkeK41I4ReCyVfR8Qbh98H2yRsmx5gY4RAShYE+EYufbC8DRoRcWa73hqIgsqf9SIwjHiZNTg50ZG/i3+riE8Aic21CyEayGup9eODphUOa338cSCvs7k0ABbC/B309hHJCL88vVEOEaY7+OFhPiuovA7/AklSNmi5QIdI5VDub5ThoTH9mvq9Z4gkkP5niCCIIhtYCWIIIjVYCWIIIjVoGMEQRBraQTHSDJZfqM1CIIgEwMh/x//rMXMp1pMagAAAABJRU5ErkJggg==">
          <a:extLst>
            <a:ext uri="{FF2B5EF4-FFF2-40B4-BE49-F238E27FC236}">
              <a16:creationId xmlns:a16="http://schemas.microsoft.com/office/drawing/2014/main" id="{00000000-0008-0000-0300-000005100000}"/>
            </a:ext>
          </a:extLst>
        </xdr:cNvPr>
        <xdr:cNvSpPr>
          <a:spLocks noChangeAspect="1" noChangeArrowheads="1"/>
        </xdr:cNvSpPr>
      </xdr:nvSpPr>
      <xdr:spPr bwMode="auto">
        <a:xfrm>
          <a:off x="60960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190500</xdr:colOff>
      <xdr:row>2</xdr:row>
      <xdr:rowOff>0</xdr:rowOff>
    </xdr:from>
    <xdr:to>
      <xdr:col>2</xdr:col>
      <xdr:colOff>588645</xdr:colOff>
      <xdr:row>21</xdr:row>
      <xdr:rowOff>78105</xdr:rowOff>
    </xdr:to>
    <xdr:pic>
      <xdr:nvPicPr>
        <xdr:cNvPr id="7" name="Kuva 6" descr="cid:image001.png@01D45C9E.3549BC80">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90500" y="365760"/>
          <a:ext cx="3057525" cy="3819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175260</xdr:colOff>
      <xdr:row>75</xdr:row>
      <xdr:rowOff>45720</xdr:rowOff>
    </xdr:to>
    <xdr:sp macro="" textlink="">
      <xdr:nvSpPr>
        <xdr:cNvPr id="2" name="Tekstiruutu 1">
          <a:extLst>
            <a:ext uri="{FF2B5EF4-FFF2-40B4-BE49-F238E27FC236}">
              <a16:creationId xmlns:a16="http://schemas.microsoft.com/office/drawing/2014/main" id="{00000000-0008-0000-0300-000002000000}"/>
            </a:ext>
          </a:extLst>
        </xdr:cNvPr>
        <xdr:cNvSpPr txBox="1"/>
      </xdr:nvSpPr>
      <xdr:spPr>
        <a:xfrm>
          <a:off x="0" y="0"/>
          <a:ext cx="6880860" cy="13761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0" i="0" u="none" strike="noStrike">
              <a:solidFill>
                <a:schemeClr val="dk1"/>
              </a:solidFill>
              <a:effectLst/>
              <a:latin typeface="+mn-lt"/>
              <a:ea typeface="+mn-ea"/>
              <a:cs typeface="+mn-cs"/>
            </a:rPr>
            <a:t>Ruokapalveluiden hiilijalanjäljen laskentatyökalu</a:t>
          </a:r>
        </a:p>
        <a:p>
          <a:endParaRPr lang="fi-FI" sz="1100" b="0" i="0" u="none" strike="noStrike">
            <a:solidFill>
              <a:schemeClr val="dk1"/>
            </a:solidFill>
            <a:effectLst/>
            <a:latin typeface="+mn-lt"/>
            <a:ea typeface="+mn-ea"/>
            <a:cs typeface="+mn-cs"/>
          </a:endParaRPr>
        </a:p>
        <a:p>
          <a:r>
            <a:rPr lang="fi-FI" sz="1100" b="0" i="0" u="none" strike="noStrike">
              <a:solidFill>
                <a:schemeClr val="dk1"/>
              </a:solidFill>
              <a:effectLst/>
              <a:latin typeface="+mn-lt"/>
              <a:ea typeface="+mn-ea"/>
              <a:cs typeface="+mn-cs"/>
            </a:rPr>
            <a:t>Tällä</a:t>
          </a:r>
          <a:r>
            <a:rPr lang="fi-FI" sz="1100" b="0" i="0" u="none" strike="noStrike" baseline="0">
              <a:solidFill>
                <a:schemeClr val="dk1"/>
              </a:solidFill>
              <a:effectLst/>
              <a:latin typeface="+mn-lt"/>
              <a:ea typeface="+mn-ea"/>
              <a:cs typeface="+mn-cs"/>
            </a:rPr>
            <a:t> laskurilla voidaan arvioida ruokapalveluiden aiheuttamat khk-päästöt. Mukana on toimialan kolme keskeisintä päästölähdettä: keittiöiden energiankulutus, ruoan jakelu sekä itse ruoka. </a:t>
          </a:r>
          <a:r>
            <a:rPr lang="fi-FI" sz="1100" baseline="0">
              <a:solidFill>
                <a:schemeClr val="dk1"/>
              </a:solidFill>
              <a:effectLst/>
              <a:latin typeface="+mn-lt"/>
              <a:ea typeface="+mn-ea"/>
              <a:cs typeface="+mn-cs"/>
            </a:rPr>
            <a:t>Laskenta perustuu Turun ruokapalveluiden alueiden 4 ja 5 lähtötiedoista muodostettuihin keskiarvoihin</a:t>
          </a:r>
          <a:r>
            <a:rPr lang="fi-FI" sz="1100" b="0" i="0" u="none" strike="noStrike" baseline="0">
              <a:solidFill>
                <a:schemeClr val="dk1"/>
              </a:solidFill>
              <a:effectLst/>
              <a:latin typeface="+mn-lt"/>
              <a:ea typeface="+mn-ea"/>
              <a:cs typeface="+mn-cs"/>
            </a:rPr>
            <a:t>. Laskuria voidaan käyttää myös muiden alueiden päästöjen arviointiin muuttamalla tarvittaessa Lähtöoletukset-välilehden tietoja. </a:t>
          </a:r>
        </a:p>
        <a:p>
          <a:endParaRPr lang="fi-FI" sz="1100" b="0" i="0" u="none" strike="noStrike" baseline="0">
            <a:solidFill>
              <a:schemeClr val="dk1"/>
            </a:solidFill>
            <a:effectLst/>
            <a:latin typeface="+mn-lt"/>
            <a:ea typeface="+mn-ea"/>
            <a:cs typeface="+mn-cs"/>
          </a:endParaRPr>
        </a:p>
        <a:p>
          <a:r>
            <a:rPr lang="fi-FI" sz="1100" b="1" i="0" u="none" strike="noStrike" baseline="0">
              <a:solidFill>
                <a:schemeClr val="dk1"/>
              </a:solidFill>
              <a:effectLst/>
              <a:latin typeface="+mn-lt"/>
              <a:ea typeface="+mn-ea"/>
              <a:cs typeface="+mn-cs"/>
            </a:rPr>
            <a:t>Laskurin käyttö ja oletukset</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Laskuria käytetään Laskuri-välilehden harmailla liukusäätimillä. Ensin määritellään alueen koko, eli kuinka monta ruoka-annosta tuotetaan päivässä (solu D4). Keittiöiden osalta arvioidaan</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Miten uutta tai vanhaa laitekantaa keskimäärin on käytössä, ja miten tilanne mahdollisesti muuttuu tulevaisuudessa. Lähtötiedoista arvioituna oletuksena on, että 70 % laitekannasta on melko modernia ja energiatehokasta. Uuden laitekannan oletetaan kuluttavan 50 % vähemmän sähköä vanhaan verrattuna. Sähkön päästökerroin on SYKEn kuntien khk-laskennoissa käytetty kulutussähkön päästökerroin 104 gCO2/kWh (2017 ennakkotieto). Sähkönkulutus per annos laskettiin alueiden 4 ja 5 valmistuskeittiöiden syyskuun 2018 tietojen perusteella. </a:t>
          </a:r>
        </a:p>
        <a:p>
          <a:endParaRPr lang="fi-FI" sz="1100" b="0" i="0" u="none" strike="noStrike"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0" i="0" baseline="0">
              <a:solidFill>
                <a:schemeClr val="dk1"/>
              </a:solidFill>
              <a:effectLst/>
              <a:latin typeface="+mn-lt"/>
              <a:ea typeface="+mn-ea"/>
              <a:cs typeface="+mn-cs"/>
            </a:rPr>
            <a:t>- Cook &amp; chill tarkoittaa ruoan jäähdytystä ja uudelleen lämmitystä. Tässä arvioidaan kuinka suuri osa ruoka-annoksista jäähdytetään ja lämmitetään uudelleen, ja kuinka paljon tämä lisää päästöjä. Toisaalta samassa yhteydessä täytyy arvioida miten tämä vaikuttaa jakelukertoihin. Kylmän ja lämpimän annoksen lämpötilaero oletuksena 70 astetta.</a:t>
          </a:r>
        </a:p>
        <a:p>
          <a:pPr marL="0" marR="0" indent="0" defTabSz="914400" eaLnBrk="1" fontAlgn="auto" latinLnBrk="0" hangingPunct="1">
            <a:lnSpc>
              <a:spcPct val="100000"/>
            </a:lnSpc>
            <a:spcBef>
              <a:spcPts val="0"/>
            </a:spcBef>
            <a:spcAft>
              <a:spcPts val="0"/>
            </a:spcAft>
            <a:buClrTx/>
            <a:buSzTx/>
            <a:buFontTx/>
            <a:buNone/>
            <a:tabLst/>
            <a:defRPr/>
          </a:pPr>
          <a:endParaRPr lang="fi-FI" sz="1100" b="0" i="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100" b="0" i="0" baseline="0">
              <a:solidFill>
                <a:schemeClr val="dk1"/>
              </a:solidFill>
              <a:effectLst/>
              <a:latin typeface="+mn-lt"/>
              <a:ea typeface="+mn-ea"/>
              <a:cs typeface="+mn-cs"/>
            </a:rPr>
            <a:t>- Vaihtoehtona on myös valita vihreä sähkö, jolloin sähkönkulutuksen päästöt ovat nolla. Energiatehokkuuden parantaminen on kuitenkin ensisijainen vaihtoehto (vihreän sähkön käyttö tukee kestävämpää energiantuotantoa, mutta ei välttämättä suoraan vähennä päästöjä laajemmassa kuvassa, Suomen tai pohjoismaisen sähkömarkkinan tasolla). Oletuksena käytössä on suomalainen keskiarvosähkö.</a:t>
          </a:r>
          <a:endParaRPr lang="fi-FI">
            <a:effectLst/>
          </a:endParaRP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Lämmitysenergian osalta arvioidaan keittiön/kiinteistön energiatehokkuuden nykytilaa ja tulevaisuutta, mukana lukien lämpimän veden käyttö. Oletuksena noin puolet kiinteistöistä on uusia ja energiatehokkaita tai niissä on tehty lämmitysenergiantarvetta vähentäviä toimenpiteitä. Laskuri olettaa, että energiatehokkuustoimilla saadaan 30 % vähennys energiankulutukseen. </a:t>
          </a:r>
          <a:r>
            <a:rPr lang="fi-FI" sz="1100" b="0" i="0" baseline="0">
              <a:solidFill>
                <a:schemeClr val="dk1"/>
              </a:solidFill>
              <a:effectLst/>
              <a:latin typeface="+mn-lt"/>
              <a:ea typeface="+mn-ea"/>
              <a:cs typeface="+mn-cs"/>
            </a:rPr>
            <a:t>Lämmityksen päästökerroin on Turku Energian hyödynjakomenetelmällä laskettu kaukolämmön päästökerroin 262 gCO2/kWh (2016). Lämmönkulutus per annos laskettiin Arkeologinkadun päiväkodin ja Jäkärlän koulun lämmönkulutusten (kWh/m3/a) ja keittiöiden tilavuuksien perusteella. Vaihtoehtona on myös valita vihreä lämpö, jolloin lämmönkulutuksen päästöt ovat nolla. Energiatehokkuuden parantaminen on kuitenkin ensisijainen vaihtoehto. Oletuksena käytössä ei ole vihreää lämpöä.</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Jakelun aiheuttamia päästöjä arvioidaan</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Määrittelemällä kuinka monta kertaa viikossa ruoka-annoksia kuljetetaan valmistuskeittiöistä jakelu- ja palvelukeittiöihin. Tässä yhteydessä voi myös karkeasti arvioida reittioptimoinnin vaikutusta, esim. jakelukertojen määrän vähentäminen viidestä neljään, tarkoittaa 20 % vähemmän ajokilometrejä. Keskimääräiset ajokilometrit per annos arvioitiin kuljetussuunnitelmien, osoitetietojen ja oletusreittien perusteella.</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Jakeluautojen aiheuttamat päästöt ovat oletuksena 364 gCO2e/km (VTT/Lipasto, pieni jakelukuorma-auto, täysi kuorma, jakeluajo). Liukusäädintä vetämällä voidaan arvioida miten suuri osa kalustosta on jatkossa nollapäästöistä. Tässä tapauksessa myös sähkö luetaan nollapäästöiseksi.</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Ruoan osalta arvioidaan</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Kasvisaterioiden osuus nyt ja tulevaisuudessa. Oletuksena 5 % ruokailijoista on tällä hetkellä kasvissyöjiä, ja yhtenä päivänä viikossa tarjolla on vain kasvisruokaa --&gt; kasvisaterioiden määrä tällä hetkellä 24 %. Yhden kasvisannoksen päästöt ovat 0,34 kgCO2 ja yhden liha-annoksen 1,46 kgCO2. Päästöt on laskettu Turun Lyseon koulun yhden esimerkkiviikon ruokalistan perusteella Foodweb-hankkeessa tuotetuilla päästökertoimilla. </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 Ruokahävikin kehitys, oletuksena 12 %. Laskurissa arvioidaan, että ruokahävikin verran ruokaa pitää tehdä kahteen kertaan, ts. roskiin menevän ruoan energiasisältö hankitaan jostain muualta. </a:t>
          </a:r>
        </a:p>
        <a:p>
          <a:endParaRPr lang="fi-FI" sz="1100" b="0" i="0" u="none" strike="noStrike" baseline="0">
            <a:solidFill>
              <a:schemeClr val="dk1"/>
            </a:solidFill>
            <a:effectLst/>
            <a:latin typeface="+mn-lt"/>
            <a:ea typeface="+mn-ea"/>
            <a:cs typeface="+mn-cs"/>
          </a:endParaRPr>
        </a:p>
        <a:p>
          <a:r>
            <a:rPr lang="fi-FI" sz="1100" b="1" i="0" u="none" strike="noStrike" baseline="0">
              <a:solidFill>
                <a:schemeClr val="dk1"/>
              </a:solidFill>
              <a:effectLst/>
              <a:latin typeface="+mn-lt"/>
              <a:ea typeface="+mn-ea"/>
              <a:cs typeface="+mn-cs"/>
            </a:rPr>
            <a:t>Tulokset</a:t>
          </a:r>
        </a:p>
        <a:p>
          <a:endParaRPr lang="fi-FI" sz="1100" b="1"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Liukusäädinkentän oikealla puolella on tulostaulukko. Lähtötilanne (sarake O) on nykytila, joka perustuu Turun ruokapalveluiden alueiden 4 ja 5 lähtötietojen perusteella muodostettuihin oletuksiin (ks. yllä). Viereisestä sarakkeesta P käy ilmi tehtyjen valintojen vaikutus, eli päästöt uudessa tilanteessa, ja sarakkeesta Q muutosprosentti. </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Sarakkeissa S ja T kuvataan ilmastotavoitteeseen (tavoitteen voi määritellä lähtöoletuksissa) vaadittavien päästövähennysten suuruusluokkaa. Turun oletuksena myös ruokapalvelut vähentävät päästöjään 80 % vuoteen 2029 mennessä, eli kymmenen vuoden aikana. </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Seuraavissa sarakkeissa kuvataan edelleen päästöjä uudessa tilanteessa per lukukausi ja per annos.</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Liukusäädinkentän ja tulostaulukoiden alla olevissa kaavioissa verrataan lähtötilanteen ja uuden tilanteen päästöjä sekä päästöjen jakaumaa. Erikseen esitetään kaaviot ruoan kanssa ja ilman ruokaa.</a:t>
          </a:r>
        </a:p>
        <a:p>
          <a:endParaRPr lang="fi-FI" sz="1100" b="0" i="0" u="none" strike="noStrike" baseline="0">
            <a:solidFill>
              <a:schemeClr val="dk1"/>
            </a:solidFill>
            <a:effectLst/>
            <a:latin typeface="+mn-lt"/>
            <a:ea typeface="+mn-ea"/>
            <a:cs typeface="+mn-cs"/>
          </a:endParaRPr>
        </a:p>
        <a:p>
          <a:endParaRPr lang="fi-FI" sz="1100" b="0" i="0" u="none" strike="noStrike" baseline="0">
            <a:solidFill>
              <a:schemeClr val="dk1"/>
            </a:solidFill>
            <a:effectLst/>
            <a:latin typeface="+mn-lt"/>
            <a:ea typeface="+mn-ea"/>
            <a:cs typeface="+mn-cs"/>
          </a:endParaRPr>
        </a:p>
        <a:p>
          <a:r>
            <a:rPr lang="fi-FI" sz="1100" b="1" i="0" u="none" strike="noStrike" baseline="0">
              <a:solidFill>
                <a:schemeClr val="dk1"/>
              </a:solidFill>
              <a:effectLst/>
              <a:latin typeface="+mn-lt"/>
              <a:ea typeface="+mn-ea"/>
              <a:cs typeface="+mn-cs"/>
            </a:rPr>
            <a:t>Lisätietoja</a:t>
          </a:r>
        </a:p>
        <a:p>
          <a:endParaRPr lang="fi-FI" sz="1100" b="0" i="0" u="none" strike="noStrike" baseline="0">
            <a:solidFill>
              <a:schemeClr val="dk1"/>
            </a:solidFill>
            <a:effectLst/>
            <a:latin typeface="+mn-lt"/>
            <a:ea typeface="+mn-ea"/>
            <a:cs typeface="+mn-cs"/>
          </a:endParaRPr>
        </a:p>
        <a:p>
          <a:r>
            <a:rPr lang="fi-FI" sz="1100" b="0" i="0" u="none" strike="noStrike" baseline="0">
              <a:solidFill>
                <a:schemeClr val="dk1"/>
              </a:solidFill>
              <a:effectLst/>
              <a:latin typeface="+mn-lt"/>
              <a:ea typeface="+mn-ea"/>
              <a:cs typeface="+mn-cs"/>
            </a:rPr>
            <a:t>Suomen ympäristökeskus</a:t>
          </a:r>
        </a:p>
        <a:p>
          <a:r>
            <a:rPr lang="fi-FI" sz="1100" b="0" i="0" u="none" strike="noStrike" baseline="0">
              <a:solidFill>
                <a:schemeClr val="dk1"/>
              </a:solidFill>
              <a:effectLst/>
              <a:latin typeface="+mn-lt"/>
              <a:ea typeface="+mn-ea"/>
              <a:cs typeface="+mn-cs"/>
            </a:rPr>
            <a:t>johannes.lounasheimo@ymparisto.fi</a:t>
          </a:r>
        </a:p>
        <a:p>
          <a:r>
            <a:rPr lang="fi-FI" sz="1100" b="0" i="0" u="none" strike="noStrike" baseline="0">
              <a:solidFill>
                <a:schemeClr val="dk1"/>
              </a:solidFill>
              <a:effectLst/>
              <a:latin typeface="+mn-lt"/>
              <a:ea typeface="+mn-ea"/>
              <a:cs typeface="+mn-cs"/>
            </a:rPr>
            <a:t>teemu.helonheimo@ymparisto.fi</a:t>
          </a:r>
        </a:p>
      </xdr:txBody>
    </xdr:sp>
    <xdr:clientData/>
  </xdr:twoCellAnchor>
  <xdr:twoCellAnchor editAs="oneCell">
    <xdr:from>
      <xdr:col>9</xdr:col>
      <xdr:colOff>464820</xdr:colOff>
      <xdr:row>71</xdr:row>
      <xdr:rowOff>76200</xdr:rowOff>
    </xdr:from>
    <xdr:to>
      <xdr:col>10</xdr:col>
      <xdr:colOff>577695</xdr:colOff>
      <xdr:row>74</xdr:row>
      <xdr:rowOff>62228</xdr:rowOff>
    </xdr:to>
    <xdr:pic>
      <xdr:nvPicPr>
        <xdr:cNvPr id="3" name="Kuva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51220" y="13060680"/>
          <a:ext cx="722475" cy="5346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12700</xdr:colOff>
          <xdr:row>6</xdr:row>
          <xdr:rowOff>0</xdr:rowOff>
        </xdr:from>
        <xdr:to>
          <xdr:col>10</xdr:col>
          <xdr:colOff>76200</xdr:colOff>
          <xdr:row>7</xdr:row>
          <xdr:rowOff>0</xdr:rowOff>
        </xdr:to>
        <xdr:sp macro="" textlink="">
          <xdr:nvSpPr>
            <xdr:cNvPr id="3082" name="Scroll Bar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25</xdr:row>
          <xdr:rowOff>0</xdr:rowOff>
        </xdr:from>
        <xdr:to>
          <xdr:col>10</xdr:col>
          <xdr:colOff>76200</xdr:colOff>
          <xdr:row>25</xdr:row>
          <xdr:rowOff>184150</xdr:rowOff>
        </xdr:to>
        <xdr:sp macro="" textlink="">
          <xdr:nvSpPr>
            <xdr:cNvPr id="3083" name="Scroll Bar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23</xdr:row>
          <xdr:rowOff>0</xdr:rowOff>
        </xdr:from>
        <xdr:to>
          <xdr:col>10</xdr:col>
          <xdr:colOff>76200</xdr:colOff>
          <xdr:row>24</xdr:row>
          <xdr:rowOff>0</xdr:rowOff>
        </xdr:to>
        <xdr:sp macro="" textlink="">
          <xdr:nvSpPr>
            <xdr:cNvPr id="3084" name="Scroll Bar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20</xdr:row>
          <xdr:rowOff>0</xdr:rowOff>
        </xdr:from>
        <xdr:to>
          <xdr:col>10</xdr:col>
          <xdr:colOff>76200</xdr:colOff>
          <xdr:row>21</xdr:row>
          <xdr:rowOff>0</xdr:rowOff>
        </xdr:to>
        <xdr:sp macro="" textlink="">
          <xdr:nvSpPr>
            <xdr:cNvPr id="3085" name="Scroll Bar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0</xdr:rowOff>
        </xdr:from>
        <xdr:to>
          <xdr:col>10</xdr:col>
          <xdr:colOff>76200</xdr:colOff>
          <xdr:row>19</xdr:row>
          <xdr:rowOff>0</xdr:rowOff>
        </xdr:to>
        <xdr:sp macro="" textlink="">
          <xdr:nvSpPr>
            <xdr:cNvPr id="3086" name="Scroll Bar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13</xdr:row>
          <xdr:rowOff>0</xdr:rowOff>
        </xdr:from>
        <xdr:to>
          <xdr:col>10</xdr:col>
          <xdr:colOff>76200</xdr:colOff>
          <xdr:row>13</xdr:row>
          <xdr:rowOff>184150</xdr:rowOff>
        </xdr:to>
        <xdr:sp macro="" textlink="">
          <xdr:nvSpPr>
            <xdr:cNvPr id="3087" name="Scroll Bar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8</xdr:row>
          <xdr:rowOff>0</xdr:rowOff>
        </xdr:from>
        <xdr:to>
          <xdr:col>10</xdr:col>
          <xdr:colOff>76200</xdr:colOff>
          <xdr:row>9</xdr:row>
          <xdr:rowOff>0</xdr:rowOff>
        </xdr:to>
        <xdr:sp macro="" textlink="">
          <xdr:nvSpPr>
            <xdr:cNvPr id="3090" name="Scroll Bar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13</xdr:col>
      <xdr:colOff>42332</xdr:colOff>
      <xdr:row>57</xdr:row>
      <xdr:rowOff>182032</xdr:rowOff>
    </xdr:from>
    <xdr:to>
      <xdr:col>20</xdr:col>
      <xdr:colOff>45199</xdr:colOff>
      <xdr:row>80</xdr:row>
      <xdr:rowOff>167099</xdr:rowOff>
    </xdr:to>
    <xdr:graphicFrame macro="">
      <xdr:nvGraphicFramePr>
        <xdr:cNvPr id="3" name="Kaavio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618067</xdr:colOff>
      <xdr:row>57</xdr:row>
      <xdr:rowOff>177800</xdr:rowOff>
    </xdr:from>
    <xdr:to>
      <xdr:col>11</xdr:col>
      <xdr:colOff>815667</xdr:colOff>
      <xdr:row>80</xdr:row>
      <xdr:rowOff>162867</xdr:rowOff>
    </xdr:to>
    <xdr:graphicFrame macro="">
      <xdr:nvGraphicFramePr>
        <xdr:cNvPr id="12" name="Kaavi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338667</xdr:colOff>
      <xdr:row>81</xdr:row>
      <xdr:rowOff>177799</xdr:rowOff>
    </xdr:from>
    <xdr:to>
      <xdr:col>11</xdr:col>
      <xdr:colOff>536267</xdr:colOff>
      <xdr:row>105</xdr:row>
      <xdr:rowOff>27399</xdr:rowOff>
    </xdr:to>
    <xdr:graphicFrame macro="">
      <xdr:nvGraphicFramePr>
        <xdr:cNvPr id="13" name="Kaavi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1016000</xdr:colOff>
      <xdr:row>82</xdr:row>
      <xdr:rowOff>0</xdr:rowOff>
    </xdr:from>
    <xdr:to>
      <xdr:col>19</xdr:col>
      <xdr:colOff>739466</xdr:colOff>
      <xdr:row>105</xdr:row>
      <xdr:rowOff>35866</xdr:rowOff>
    </xdr:to>
    <xdr:graphicFrame macro="">
      <xdr:nvGraphicFramePr>
        <xdr:cNvPr id="14" name="Kaavi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787399</xdr:colOff>
      <xdr:row>31</xdr:row>
      <xdr:rowOff>139700</xdr:rowOff>
    </xdr:from>
    <xdr:to>
      <xdr:col>11</xdr:col>
      <xdr:colOff>912999</xdr:colOff>
      <xdr:row>54</xdr:row>
      <xdr:rowOff>175566</xdr:rowOff>
    </xdr:to>
    <xdr:graphicFrame macro="">
      <xdr:nvGraphicFramePr>
        <xdr:cNvPr id="4" name="Kaavi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0</xdr:colOff>
      <xdr:row>32</xdr:row>
      <xdr:rowOff>0</xdr:rowOff>
    </xdr:from>
    <xdr:to>
      <xdr:col>19</xdr:col>
      <xdr:colOff>760600</xdr:colOff>
      <xdr:row>55</xdr:row>
      <xdr:rowOff>35867</xdr:rowOff>
    </xdr:to>
    <xdr:graphicFrame macro="">
      <xdr:nvGraphicFramePr>
        <xdr:cNvPr id="16" name="Kaavio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11</xdr:col>
      <xdr:colOff>270932</xdr:colOff>
      <xdr:row>1</xdr:row>
      <xdr:rowOff>211666</xdr:rowOff>
    </xdr:from>
    <xdr:to>
      <xdr:col>11</xdr:col>
      <xdr:colOff>993407</xdr:colOff>
      <xdr:row>4</xdr:row>
      <xdr:rowOff>1268</xdr:rowOff>
    </xdr:to>
    <xdr:pic>
      <xdr:nvPicPr>
        <xdr:cNvPr id="17" name="Kuva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74932" y="524933"/>
          <a:ext cx="722475" cy="5346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foodweb.ut.ee/foodplate/?lang=fi"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lipasto.vtt.fi/yksikkopaastot/tavaraliikenne/tieliikenne/kajakpienijakelu.ht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omments" Target="../comments2.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4"/>
  <dimension ref="A1:Y54"/>
  <sheetViews>
    <sheetView topLeftCell="A19" zoomScale="85" zoomScaleNormal="85" workbookViewId="0">
      <selection activeCell="L3" sqref="L3:T20"/>
    </sheetView>
  </sheetViews>
  <sheetFormatPr defaultRowHeight="14.5" x14ac:dyDescent="0.35"/>
  <cols>
    <col min="1" max="1" width="69.08984375" customWidth="1"/>
    <col min="2" max="2" width="24.36328125" customWidth="1"/>
    <col min="14" max="14" width="35.453125" customWidth="1"/>
    <col min="15" max="15" width="7" customWidth="1"/>
    <col min="19" max="19" width="10.6328125" customWidth="1"/>
    <col min="20" max="20" width="7.453125" customWidth="1"/>
    <col min="21" max="21" width="9.90625" customWidth="1"/>
  </cols>
  <sheetData>
    <row r="1" spans="1:20" ht="18.5" x14ac:dyDescent="0.45">
      <c r="A1" s="6" t="s">
        <v>1</v>
      </c>
    </row>
    <row r="2" spans="1:20" x14ac:dyDescent="0.35">
      <c r="A2" t="s">
        <v>2</v>
      </c>
    </row>
    <row r="3" spans="1:20" x14ac:dyDescent="0.35">
      <c r="B3" s="7" t="s">
        <v>3</v>
      </c>
      <c r="L3" s="174" t="s">
        <v>4</v>
      </c>
      <c r="M3" s="174"/>
      <c r="N3" s="174"/>
      <c r="O3" s="174"/>
      <c r="P3" s="174"/>
      <c r="Q3" s="174"/>
      <c r="R3" s="174"/>
      <c r="S3" s="174"/>
      <c r="T3" s="174"/>
    </row>
    <row r="4" spans="1:20" ht="14.4" customHeight="1" x14ac:dyDescent="0.35">
      <c r="A4" s="1" t="s">
        <v>5</v>
      </c>
      <c r="B4" t="s">
        <v>6</v>
      </c>
      <c r="H4" t="s">
        <v>201</v>
      </c>
      <c r="I4" t="s">
        <v>202</v>
      </c>
      <c r="L4" s="174"/>
      <c r="M4" s="174"/>
      <c r="N4" s="174"/>
      <c r="O4" s="174"/>
      <c r="P4" s="174"/>
      <c r="Q4" s="174"/>
      <c r="R4" s="174"/>
      <c r="S4" s="174"/>
      <c r="T4" s="174"/>
    </row>
    <row r="5" spans="1:20" ht="14.4" customHeight="1" x14ac:dyDescent="0.35">
      <c r="A5" t="s">
        <v>7</v>
      </c>
      <c r="B5" s="166">
        <v>1</v>
      </c>
      <c r="L5" s="174"/>
      <c r="M5" s="174"/>
      <c r="N5" s="174"/>
      <c r="O5" s="174"/>
      <c r="P5" s="174"/>
      <c r="Q5" s="174"/>
      <c r="R5" s="174"/>
      <c r="S5" s="174"/>
      <c r="T5" s="174"/>
    </row>
    <row r="6" spans="1:20" ht="14.4" customHeight="1" x14ac:dyDescent="0.35">
      <c r="A6" t="s">
        <v>8</v>
      </c>
      <c r="B6" s="162">
        <v>0.21</v>
      </c>
      <c r="C6" t="s">
        <v>9</v>
      </c>
      <c r="H6">
        <v>5</v>
      </c>
      <c r="I6">
        <v>95</v>
      </c>
      <c r="L6" s="174"/>
      <c r="M6" s="174"/>
      <c r="N6" s="174"/>
      <c r="O6" s="174"/>
      <c r="P6" s="174"/>
      <c r="Q6" s="174"/>
      <c r="R6" s="174"/>
      <c r="S6" s="174"/>
      <c r="T6" s="174"/>
    </row>
    <row r="7" spans="1:20" ht="14.4" customHeight="1" x14ac:dyDescent="0.35">
      <c r="L7" s="174"/>
      <c r="M7" s="174"/>
      <c r="N7" s="174"/>
      <c r="O7" s="174"/>
      <c r="P7" s="174"/>
      <c r="Q7" s="174"/>
      <c r="R7" s="174"/>
      <c r="S7" s="174"/>
      <c r="T7" s="174"/>
    </row>
    <row r="8" spans="1:20" ht="14.4" customHeight="1" x14ac:dyDescent="0.35">
      <c r="A8" s="1" t="s">
        <v>10</v>
      </c>
      <c r="L8" s="174"/>
      <c r="M8" s="174"/>
      <c r="N8" s="174"/>
      <c r="O8" s="174"/>
      <c r="P8" s="174"/>
      <c r="Q8" s="174"/>
      <c r="R8" s="174"/>
      <c r="S8" s="174"/>
      <c r="T8" s="174"/>
    </row>
    <row r="9" spans="1:20" ht="14.4" customHeight="1" x14ac:dyDescent="0.35">
      <c r="A9" t="s">
        <v>11</v>
      </c>
      <c r="B9" s="166">
        <v>1.34</v>
      </c>
      <c r="C9" t="s">
        <v>12</v>
      </c>
      <c r="H9">
        <v>5</v>
      </c>
      <c r="I9">
        <v>95</v>
      </c>
      <c r="L9" s="174"/>
      <c r="M9" s="174"/>
      <c r="N9" s="174"/>
      <c r="O9" s="174"/>
      <c r="P9" s="174"/>
      <c r="Q9" s="174"/>
      <c r="R9" s="174"/>
      <c r="S9" s="174"/>
      <c r="T9" s="174"/>
    </row>
    <row r="10" spans="1:20" ht="14.4" customHeight="1" x14ac:dyDescent="0.35">
      <c r="A10" t="s">
        <v>13</v>
      </c>
      <c r="B10">
        <v>0.9</v>
      </c>
      <c r="C10" t="s">
        <v>14</v>
      </c>
      <c r="L10" s="174"/>
      <c r="M10" s="174"/>
      <c r="N10" s="174"/>
      <c r="O10" s="174"/>
      <c r="P10" s="174"/>
      <c r="Q10" s="174"/>
      <c r="R10" s="174"/>
      <c r="S10" s="174"/>
      <c r="T10" s="174"/>
    </row>
    <row r="11" spans="1:20" ht="14.4" customHeight="1" x14ac:dyDescent="0.35">
      <c r="L11" s="174"/>
      <c r="M11" s="174"/>
      <c r="N11" s="174"/>
      <c r="O11" s="174"/>
      <c r="P11" s="174"/>
      <c r="Q11" s="174"/>
      <c r="R11" s="174"/>
      <c r="S11" s="174"/>
      <c r="T11" s="174"/>
    </row>
    <row r="12" spans="1:20" ht="14.4" customHeight="1" x14ac:dyDescent="0.35">
      <c r="A12" s="1" t="s">
        <v>15</v>
      </c>
      <c r="L12" s="174"/>
      <c r="M12" s="174"/>
      <c r="N12" s="174"/>
      <c r="O12" s="174"/>
      <c r="P12" s="174"/>
      <c r="Q12" s="174"/>
      <c r="R12" s="174"/>
      <c r="S12" s="174"/>
      <c r="T12" s="174"/>
    </row>
    <row r="13" spans="1:20" ht="14.4" customHeight="1" x14ac:dyDescent="0.35">
      <c r="A13" t="s">
        <v>16</v>
      </c>
      <c r="B13">
        <v>1.02</v>
      </c>
      <c r="C13" t="s">
        <v>17</v>
      </c>
      <c r="H13">
        <v>100</v>
      </c>
      <c r="I13">
        <v>0</v>
      </c>
      <c r="L13" s="174"/>
      <c r="M13" s="174"/>
      <c r="N13" s="174"/>
      <c r="O13" s="174"/>
      <c r="P13" s="174"/>
      <c r="Q13" s="174"/>
      <c r="R13" s="174"/>
      <c r="S13" s="174"/>
      <c r="T13" s="174"/>
    </row>
    <row r="14" spans="1:20" ht="14.4" customHeight="1" x14ac:dyDescent="0.35">
      <c r="A14" t="s">
        <v>18</v>
      </c>
      <c r="B14" s="162">
        <v>0.17</v>
      </c>
      <c r="C14" t="s">
        <v>19</v>
      </c>
      <c r="L14" s="174"/>
      <c r="M14" s="174"/>
      <c r="N14" s="174"/>
      <c r="O14" s="174"/>
      <c r="P14" s="174"/>
      <c r="Q14" s="174"/>
      <c r="R14" s="174"/>
      <c r="S14" s="174"/>
      <c r="T14" s="174"/>
    </row>
    <row r="15" spans="1:20" ht="14.4" customHeight="1" x14ac:dyDescent="0.35">
      <c r="L15" s="174"/>
      <c r="M15" s="174"/>
      <c r="N15" s="174"/>
      <c r="O15" s="174"/>
      <c r="P15" s="174"/>
      <c r="Q15" s="174"/>
      <c r="R15" s="174"/>
      <c r="S15" s="174"/>
      <c r="T15" s="174"/>
    </row>
    <row r="16" spans="1:20" ht="14.4" customHeight="1" x14ac:dyDescent="0.35">
      <c r="A16" s="1" t="s">
        <v>20</v>
      </c>
      <c r="L16" s="174"/>
      <c r="M16" s="174"/>
      <c r="N16" s="174"/>
      <c r="O16" s="174"/>
      <c r="P16" s="174"/>
      <c r="Q16" s="174"/>
      <c r="R16" s="174"/>
      <c r="S16" s="174"/>
      <c r="T16" s="174"/>
    </row>
    <row r="17" spans="1:20" ht="14.4" customHeight="1" x14ac:dyDescent="0.35">
      <c r="A17" t="s">
        <v>21</v>
      </c>
      <c r="B17" s="166">
        <v>1.41</v>
      </c>
      <c r="C17" t="s">
        <v>22</v>
      </c>
      <c r="H17">
        <v>5</v>
      </c>
      <c r="I17">
        <v>95</v>
      </c>
      <c r="L17" s="174"/>
      <c r="M17" s="174"/>
      <c r="N17" s="174"/>
      <c r="O17" s="174"/>
      <c r="P17" s="174"/>
      <c r="Q17" s="174"/>
      <c r="R17" s="174"/>
      <c r="S17" s="174"/>
      <c r="T17" s="174"/>
    </row>
    <row r="18" spans="1:20" ht="14.4" customHeight="1" x14ac:dyDescent="0.35">
      <c r="A18" t="s">
        <v>23</v>
      </c>
      <c r="B18" s="162">
        <v>0.35</v>
      </c>
      <c r="C18" t="s">
        <v>24</v>
      </c>
      <c r="L18" s="174"/>
      <c r="M18" s="174"/>
      <c r="N18" s="174"/>
      <c r="O18" s="174"/>
      <c r="P18" s="174"/>
      <c r="Q18" s="174"/>
      <c r="R18" s="174"/>
      <c r="S18" s="174"/>
      <c r="T18" s="174"/>
    </row>
    <row r="19" spans="1:20" ht="14.4" customHeight="1" x14ac:dyDescent="0.35">
      <c r="L19" s="174"/>
      <c r="M19" s="174"/>
      <c r="N19" s="174"/>
      <c r="O19" s="174"/>
      <c r="P19" s="174"/>
      <c r="Q19" s="174"/>
      <c r="R19" s="174"/>
      <c r="S19" s="174"/>
      <c r="T19" s="174"/>
    </row>
    <row r="20" spans="1:20" x14ac:dyDescent="0.35">
      <c r="A20" s="1" t="s">
        <v>25</v>
      </c>
      <c r="L20" s="174"/>
      <c r="M20" s="174"/>
      <c r="N20" s="174"/>
      <c r="O20" s="174"/>
      <c r="P20" s="174"/>
      <c r="Q20" s="174"/>
      <c r="R20" s="174"/>
      <c r="S20" s="174"/>
      <c r="T20" s="174"/>
    </row>
    <row r="21" spans="1:20" x14ac:dyDescent="0.35">
      <c r="A21" t="s">
        <v>26</v>
      </c>
      <c r="B21" s="166">
        <v>2.09</v>
      </c>
      <c r="C21" t="s">
        <v>27</v>
      </c>
      <c r="H21">
        <v>5</v>
      </c>
      <c r="I21">
        <v>95</v>
      </c>
    </row>
    <row r="22" spans="1:20" x14ac:dyDescent="0.35">
      <c r="A22" t="s">
        <v>28</v>
      </c>
      <c r="B22" s="162">
        <v>0.61</v>
      </c>
      <c r="C22" t="s">
        <v>29</v>
      </c>
    </row>
    <row r="24" spans="1:20" x14ac:dyDescent="0.35">
      <c r="A24" t="s">
        <v>200</v>
      </c>
      <c r="H24">
        <f>SUM(H6:H21)</f>
        <v>120</v>
      </c>
      <c r="I24">
        <f>SUM(I6:I21)</f>
        <v>380</v>
      </c>
      <c r="J24">
        <f>I24+H24</f>
        <v>500</v>
      </c>
    </row>
    <row r="25" spans="1:20" x14ac:dyDescent="0.35">
      <c r="H25" s="1">
        <f>H24/J24*100</f>
        <v>24</v>
      </c>
      <c r="I25">
        <f>I24/J24*100</f>
        <v>76</v>
      </c>
      <c r="J25" t="s">
        <v>80</v>
      </c>
    </row>
    <row r="26" spans="1:20" x14ac:dyDescent="0.35">
      <c r="H26" s="1" t="s">
        <v>203</v>
      </c>
    </row>
    <row r="27" spans="1:20" x14ac:dyDescent="0.35">
      <c r="A27" s="2" t="s">
        <v>30</v>
      </c>
      <c r="B27" s="165">
        <f>Lähtöoletukset!B44</f>
        <v>1.46</v>
      </c>
      <c r="C27" s="2" t="s">
        <v>31</v>
      </c>
    </row>
    <row r="28" spans="1:20" x14ac:dyDescent="0.35">
      <c r="A28" s="2" t="s">
        <v>32</v>
      </c>
      <c r="B28" s="163">
        <f>Lähtöoletukset!B47</f>
        <v>0.33499999999999996</v>
      </c>
      <c r="C28" s="2" t="s">
        <v>31</v>
      </c>
      <c r="D28" t="s">
        <v>204</v>
      </c>
    </row>
    <row r="31" spans="1:20" ht="19.5" x14ac:dyDescent="0.45">
      <c r="A31" s="9" t="s">
        <v>33</v>
      </c>
    </row>
    <row r="33" spans="1:12" x14ac:dyDescent="0.35">
      <c r="A33" s="25"/>
      <c r="B33" s="25"/>
      <c r="C33" s="2"/>
      <c r="D33" s="2"/>
      <c r="E33" s="2"/>
      <c r="F33" s="2"/>
      <c r="G33" s="2"/>
      <c r="H33" s="2"/>
      <c r="I33" s="2"/>
      <c r="J33" s="2"/>
      <c r="K33" s="2"/>
      <c r="L33" s="2"/>
    </row>
    <row r="34" spans="1:12" x14ac:dyDescent="0.35">
      <c r="A34" s="25" t="s">
        <v>67</v>
      </c>
      <c r="B34" s="31" t="s">
        <v>89</v>
      </c>
      <c r="C34" s="2">
        <f>Laskuri!C4</f>
        <v>19750</v>
      </c>
      <c r="D34" s="2"/>
      <c r="E34" s="2"/>
      <c r="F34" s="2"/>
      <c r="G34" s="2"/>
      <c r="H34" s="2"/>
      <c r="I34" s="2"/>
      <c r="J34" s="2"/>
      <c r="K34" s="2"/>
      <c r="L34" s="2"/>
    </row>
    <row r="35" spans="1:12" x14ac:dyDescent="0.35">
      <c r="A35" s="2"/>
      <c r="B35" s="31" t="s">
        <v>46</v>
      </c>
      <c r="C35" s="2">
        <f>100-Laskuri!J24</f>
        <v>24</v>
      </c>
      <c r="D35" s="2" t="s">
        <v>80</v>
      </c>
      <c r="E35" s="2"/>
      <c r="F35" s="2"/>
      <c r="G35" s="2"/>
      <c r="H35" s="2"/>
      <c r="I35" s="2"/>
      <c r="J35" s="2"/>
      <c r="K35" s="2"/>
      <c r="L35" s="2"/>
    </row>
    <row r="36" spans="1:12" x14ac:dyDescent="0.35">
      <c r="A36" s="2"/>
      <c r="B36" s="2" t="s">
        <v>180</v>
      </c>
      <c r="C36" s="25">
        <f>Lähtöoletukset!B38</f>
        <v>24</v>
      </c>
      <c r="D36" s="25" t="s">
        <v>80</v>
      </c>
      <c r="E36" s="2"/>
      <c r="F36" s="2"/>
      <c r="G36" s="2"/>
      <c r="H36" s="2"/>
      <c r="I36" s="15" t="s">
        <v>75</v>
      </c>
      <c r="J36" s="15">
        <v>5</v>
      </c>
      <c r="K36" s="2" t="s">
        <v>78</v>
      </c>
      <c r="L36" s="2"/>
    </row>
    <row r="37" spans="1:12" x14ac:dyDescent="0.35">
      <c r="A37" s="2"/>
      <c r="B37" s="2"/>
      <c r="C37" s="2"/>
      <c r="D37" s="2"/>
      <c r="E37" s="2"/>
      <c r="F37" s="2"/>
      <c r="G37" s="2"/>
      <c r="H37" s="2"/>
      <c r="I37" s="15" t="s">
        <v>76</v>
      </c>
      <c r="J37" s="15">
        <v>21</v>
      </c>
      <c r="K37" s="2" t="s">
        <v>78</v>
      </c>
      <c r="L37" s="2"/>
    </row>
    <row r="38" spans="1:12" x14ac:dyDescent="0.35">
      <c r="A38" s="2"/>
      <c r="B38" s="31" t="s">
        <v>161</v>
      </c>
      <c r="C38" s="27" t="s">
        <v>74</v>
      </c>
      <c r="D38" s="27" t="s">
        <v>75</v>
      </c>
      <c r="E38" s="27" t="s">
        <v>76</v>
      </c>
      <c r="F38" s="27" t="s">
        <v>77</v>
      </c>
      <c r="G38" s="2"/>
      <c r="H38" s="2"/>
      <c r="I38" s="15" t="s">
        <v>77</v>
      </c>
      <c r="J38" s="15">
        <v>190</v>
      </c>
      <c r="K38" s="2" t="s">
        <v>78</v>
      </c>
      <c r="L38" s="2"/>
    </row>
    <row r="39" spans="1:12" x14ac:dyDescent="0.35">
      <c r="A39" s="2"/>
      <c r="B39" s="2"/>
      <c r="C39" s="33">
        <f>((100-C35)/100*$C$34*$B$27+C35/100*$C$34*$B$28)/1000</f>
        <v>23.502500000000001</v>
      </c>
      <c r="D39" s="24">
        <f>C39*J36</f>
        <v>117.5125</v>
      </c>
      <c r="E39" s="24">
        <f>C39*J37</f>
        <v>493.55250000000001</v>
      </c>
      <c r="F39" s="24">
        <f>C39*J38</f>
        <v>4465.4750000000004</v>
      </c>
      <c r="G39" s="2"/>
      <c r="H39" s="2"/>
      <c r="I39" s="2"/>
      <c r="J39" s="2"/>
      <c r="K39" s="2"/>
      <c r="L39" s="2"/>
    </row>
    <row r="40" spans="1:12" x14ac:dyDescent="0.35">
      <c r="A40" s="2"/>
      <c r="B40" s="2"/>
      <c r="C40" s="2"/>
      <c r="D40" s="2"/>
      <c r="E40" s="2"/>
      <c r="F40" s="2"/>
      <c r="G40" s="2"/>
      <c r="H40" s="2"/>
      <c r="I40" s="2"/>
      <c r="J40" s="2"/>
      <c r="K40" s="2"/>
      <c r="L40" s="2"/>
    </row>
    <row r="41" spans="1:12" x14ac:dyDescent="0.35">
      <c r="A41" s="2"/>
      <c r="B41" s="31" t="s">
        <v>45</v>
      </c>
      <c r="C41" s="2">
        <f>Laskuri!J26</f>
        <v>12</v>
      </c>
      <c r="D41" s="2" t="s">
        <v>80</v>
      </c>
      <c r="E41" s="2"/>
      <c r="F41" s="2"/>
      <c r="G41" s="2"/>
      <c r="H41" s="24"/>
      <c r="I41" s="2" t="s">
        <v>184</v>
      </c>
      <c r="J41" s="2"/>
      <c r="K41" s="2"/>
      <c r="L41" s="2"/>
    </row>
    <row r="42" spans="1:12" x14ac:dyDescent="0.35">
      <c r="A42" s="2"/>
      <c r="B42" s="31" t="s">
        <v>73</v>
      </c>
      <c r="C42" s="24">
        <f>($C$41/100)*F39</f>
        <v>535.85699999999997</v>
      </c>
      <c r="D42" s="2" t="s">
        <v>162</v>
      </c>
      <c r="E42" s="2"/>
      <c r="F42" s="2"/>
      <c r="G42" s="2"/>
      <c r="H42" s="24"/>
      <c r="I42" s="2" t="s">
        <v>246</v>
      </c>
      <c r="J42" s="2">
        <f>((100-C36)/100*$B$27+C36/100*$B$28)</f>
        <v>1.19</v>
      </c>
      <c r="K42" s="8" t="s">
        <v>245</v>
      </c>
      <c r="L42" s="2"/>
    </row>
    <row r="43" spans="1:12" x14ac:dyDescent="0.35">
      <c r="A43" s="2"/>
      <c r="B43" s="2"/>
      <c r="C43" s="2"/>
      <c r="D43" s="2"/>
      <c r="E43" s="2"/>
      <c r="F43" s="2"/>
      <c r="G43" s="2"/>
      <c r="H43" s="2"/>
      <c r="I43" s="2" t="s">
        <v>247</v>
      </c>
      <c r="J43" s="169">
        <f>J42*B52</f>
        <v>0.14279999999999998</v>
      </c>
      <c r="K43" s="8" t="s">
        <v>245</v>
      </c>
      <c r="L43" s="2"/>
    </row>
    <row r="44" spans="1:12" x14ac:dyDescent="0.35">
      <c r="A44" s="2"/>
      <c r="B44" s="2"/>
      <c r="C44" s="2"/>
      <c r="D44" s="2"/>
      <c r="E44" s="2"/>
      <c r="F44" s="2"/>
      <c r="G44" s="2"/>
      <c r="H44" s="2"/>
      <c r="I44" s="15"/>
      <c r="J44" s="15"/>
      <c r="K44" s="2"/>
      <c r="L44" s="2"/>
    </row>
    <row r="45" spans="1:12" x14ac:dyDescent="0.35">
      <c r="A45" s="83"/>
      <c r="B45" s="83"/>
      <c r="C45" s="83"/>
      <c r="D45" s="83"/>
      <c r="E45" s="83"/>
      <c r="F45" s="83"/>
      <c r="G45" s="83"/>
      <c r="H45" s="83"/>
      <c r="I45" s="21"/>
      <c r="J45" s="21"/>
      <c r="K45" s="83"/>
      <c r="L45" s="83"/>
    </row>
    <row r="46" spans="1:12" x14ac:dyDescent="0.35">
      <c r="A46" s="2"/>
      <c r="B46" s="2"/>
      <c r="C46" s="2"/>
      <c r="D46" s="2"/>
      <c r="E46" s="2"/>
      <c r="F46" s="2"/>
      <c r="G46" s="2"/>
      <c r="H46" s="2"/>
      <c r="I46" s="2"/>
      <c r="J46" s="2"/>
      <c r="K46" s="2"/>
      <c r="L46" s="2"/>
    </row>
    <row r="47" spans="1:12" x14ac:dyDescent="0.35">
      <c r="A47" s="25" t="s">
        <v>176</v>
      </c>
      <c r="B47" s="2"/>
      <c r="C47" s="2"/>
      <c r="D47" s="2"/>
      <c r="E47" s="2"/>
      <c r="F47" s="2"/>
      <c r="G47" s="2"/>
      <c r="H47" s="2"/>
      <c r="I47" s="2"/>
      <c r="J47" s="2"/>
      <c r="K47" s="2"/>
      <c r="L47" s="2"/>
    </row>
    <row r="48" spans="1:12" x14ac:dyDescent="0.35">
      <c r="A48" s="2" t="s">
        <v>159</v>
      </c>
      <c r="B48" s="71">
        <v>22.368571428571425</v>
      </c>
      <c r="C48" s="2" t="s">
        <v>154</v>
      </c>
      <c r="D48" s="2"/>
      <c r="E48" s="2"/>
      <c r="F48" s="2"/>
      <c r="G48" s="2"/>
      <c r="H48" s="2"/>
      <c r="I48" s="2"/>
      <c r="J48" s="2"/>
      <c r="K48" s="2"/>
      <c r="L48" s="2"/>
    </row>
    <row r="49" spans="1:25" x14ac:dyDescent="0.35">
      <c r="A49" s="2" t="s">
        <v>168</v>
      </c>
      <c r="B49" s="2">
        <v>400</v>
      </c>
      <c r="C49" s="2" t="s">
        <v>169</v>
      </c>
      <c r="D49" s="2"/>
      <c r="E49" s="2"/>
      <c r="F49" s="2"/>
      <c r="G49" s="2"/>
      <c r="H49" s="2"/>
      <c r="I49" s="2"/>
      <c r="J49" s="2"/>
      <c r="K49" s="2"/>
      <c r="L49" s="2"/>
    </row>
    <row r="50" spans="1:25" ht="14.4" customHeight="1" x14ac:dyDescent="0.35">
      <c r="A50" s="2" t="s">
        <v>160</v>
      </c>
      <c r="B50" s="88">
        <f>B48/B49</f>
        <v>5.5921428571428559E-2</v>
      </c>
      <c r="C50" s="89"/>
      <c r="D50" s="2"/>
      <c r="E50" s="2"/>
      <c r="F50" s="2"/>
      <c r="G50" s="2"/>
      <c r="H50" s="2"/>
      <c r="I50" s="2"/>
      <c r="J50" s="2"/>
      <c r="K50" s="2"/>
      <c r="L50" s="2"/>
      <c r="N50" s="83"/>
      <c r="O50" s="83"/>
      <c r="P50" s="83"/>
      <c r="Q50" s="83"/>
      <c r="R50" s="84"/>
      <c r="S50" s="83"/>
      <c r="T50" s="85"/>
      <c r="U50" s="83"/>
      <c r="V50" s="83"/>
      <c r="W50" s="83"/>
      <c r="X50" s="83"/>
      <c r="Y50" s="83"/>
    </row>
    <row r="51" spans="1:25" x14ac:dyDescent="0.35">
      <c r="A51" s="2" t="s">
        <v>166</v>
      </c>
      <c r="B51" s="90">
        <v>0.06</v>
      </c>
      <c r="C51" s="2"/>
      <c r="D51" s="2"/>
      <c r="E51" s="2"/>
      <c r="F51" s="2"/>
      <c r="G51" s="2"/>
      <c r="H51" s="2"/>
      <c r="I51" s="2"/>
      <c r="J51" s="2"/>
      <c r="K51" s="2"/>
      <c r="L51" s="2"/>
      <c r="N51" s="83"/>
      <c r="O51" s="83"/>
      <c r="P51" s="83"/>
      <c r="Q51" s="83"/>
      <c r="R51" s="83"/>
      <c r="S51" s="83"/>
      <c r="T51" s="83"/>
      <c r="U51" s="83"/>
      <c r="V51" s="83"/>
      <c r="W51" s="83"/>
      <c r="X51" s="83"/>
      <c r="Y51" s="83"/>
    </row>
    <row r="52" spans="1:25" x14ac:dyDescent="0.35">
      <c r="A52" s="91" t="s">
        <v>167</v>
      </c>
      <c r="B52" s="92">
        <f>Lähtöoletukset!B41/100</f>
        <v>0.12</v>
      </c>
      <c r="C52" s="93"/>
      <c r="D52" s="2"/>
      <c r="E52" s="2"/>
      <c r="F52" s="2"/>
      <c r="G52" s="2"/>
      <c r="H52" s="2"/>
      <c r="I52" s="2"/>
      <c r="J52" s="2"/>
      <c r="K52" s="2"/>
      <c r="L52" s="2"/>
      <c r="N52" s="86"/>
      <c r="O52" s="83"/>
      <c r="P52" s="83"/>
      <c r="Q52" s="83"/>
      <c r="R52" s="83"/>
      <c r="S52" s="83"/>
      <c r="T52" s="83"/>
      <c r="U52" s="83"/>
      <c r="V52" s="83"/>
      <c r="W52" s="83"/>
      <c r="X52" s="83"/>
      <c r="Y52" s="83"/>
    </row>
    <row r="53" spans="1:25" x14ac:dyDescent="0.35">
      <c r="A53" s="2"/>
      <c r="B53" s="2"/>
      <c r="C53" s="2"/>
      <c r="D53" s="2"/>
      <c r="E53" s="2"/>
      <c r="F53" s="2"/>
      <c r="G53" s="2"/>
      <c r="H53" s="2"/>
      <c r="I53" s="2"/>
      <c r="J53" s="2"/>
      <c r="K53" s="2"/>
      <c r="L53" s="2"/>
      <c r="N53" s="83"/>
      <c r="O53" s="83"/>
      <c r="P53" s="83"/>
      <c r="Q53" s="83"/>
      <c r="R53" s="83"/>
      <c r="S53" s="83"/>
      <c r="T53" s="83"/>
      <c r="U53" s="83"/>
      <c r="V53" s="83"/>
      <c r="W53" s="83"/>
      <c r="X53" s="83"/>
      <c r="Y53" s="83"/>
    </row>
    <row r="54" spans="1:25" x14ac:dyDescent="0.35">
      <c r="A54" s="2"/>
      <c r="B54" s="2"/>
      <c r="C54" s="2"/>
      <c r="D54" s="2"/>
      <c r="E54" s="2"/>
      <c r="F54" s="2"/>
      <c r="G54" s="2"/>
      <c r="H54" s="2"/>
      <c r="I54" s="2"/>
      <c r="J54" s="2"/>
      <c r="K54" s="2"/>
      <c r="L54" s="2"/>
    </row>
  </sheetData>
  <mergeCells count="1">
    <mergeCell ref="L3:T20"/>
  </mergeCells>
  <hyperlinks>
    <hyperlink ref="B3"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5"/>
  <dimension ref="A1:U304"/>
  <sheetViews>
    <sheetView topLeftCell="A28" workbookViewId="0">
      <selection activeCell="P47" sqref="P47"/>
    </sheetView>
  </sheetViews>
  <sheetFormatPr defaultColWidth="8.90625" defaultRowHeight="14.5" x14ac:dyDescent="0.35"/>
  <cols>
    <col min="1" max="1" width="8.90625" style="3"/>
    <col min="2" max="2" width="29.90625" style="3" customWidth="1"/>
    <col min="3" max="3" width="14.08984375" style="3" customWidth="1"/>
    <col min="4" max="8" width="8.90625" style="3"/>
    <col min="9" max="9" width="13.453125" style="3" customWidth="1"/>
    <col min="10" max="13" width="8.90625" style="3"/>
    <col min="14" max="14" width="15.81640625" style="3" customWidth="1"/>
    <col min="15" max="16384" width="8.90625" style="3"/>
  </cols>
  <sheetData>
    <row r="1" spans="1:17" x14ac:dyDescent="0.35">
      <c r="A1" s="10" t="s">
        <v>34</v>
      </c>
    </row>
    <row r="2" spans="1:17" x14ac:dyDescent="0.35">
      <c r="A2" s="10"/>
    </row>
    <row r="3" spans="1:17" x14ac:dyDescent="0.35">
      <c r="A3" s="10"/>
      <c r="B3" s="11"/>
      <c r="I3" s="3" t="s">
        <v>35</v>
      </c>
      <c r="J3" s="3" t="s">
        <v>36</v>
      </c>
      <c r="K3" s="3" t="s">
        <v>37</v>
      </c>
    </row>
    <row r="4" spans="1:17" x14ac:dyDescent="0.35">
      <c r="I4" s="3" t="s">
        <v>38</v>
      </c>
      <c r="J4" s="3">
        <v>2016</v>
      </c>
      <c r="K4" s="3">
        <v>19</v>
      </c>
      <c r="N4" s="4" t="s">
        <v>106</v>
      </c>
    </row>
    <row r="5" spans="1:17" x14ac:dyDescent="0.35">
      <c r="I5" s="3" t="s">
        <v>38</v>
      </c>
      <c r="J5" s="3">
        <v>2015</v>
      </c>
      <c r="K5" s="3">
        <v>15</v>
      </c>
      <c r="N5" s="3" t="s">
        <v>102</v>
      </c>
    </row>
    <row r="6" spans="1:17" x14ac:dyDescent="0.35">
      <c r="I6" s="3" t="s">
        <v>38</v>
      </c>
      <c r="J6" s="3">
        <v>2012</v>
      </c>
      <c r="K6" s="3">
        <v>19</v>
      </c>
      <c r="N6" s="3" t="s">
        <v>103</v>
      </c>
    </row>
    <row r="7" spans="1:17" x14ac:dyDescent="0.35">
      <c r="I7" s="3" t="s">
        <v>38</v>
      </c>
      <c r="J7" s="3">
        <v>2011</v>
      </c>
      <c r="K7" s="3">
        <v>15</v>
      </c>
      <c r="N7" s="3" t="s">
        <v>104</v>
      </c>
    </row>
    <row r="8" spans="1:17" x14ac:dyDescent="0.35">
      <c r="I8" s="3" t="s">
        <v>39</v>
      </c>
      <c r="J8" s="3">
        <v>2017</v>
      </c>
      <c r="K8" s="3">
        <v>34</v>
      </c>
      <c r="N8" s="3" t="s">
        <v>105</v>
      </c>
      <c r="O8" s="45">
        <v>0.3</v>
      </c>
    </row>
    <row r="9" spans="1:17" x14ac:dyDescent="0.35">
      <c r="I9" s="3" t="s">
        <v>38</v>
      </c>
      <c r="J9" s="3">
        <v>2015</v>
      </c>
      <c r="K9" s="3">
        <v>15</v>
      </c>
      <c r="N9" s="46" t="s">
        <v>107</v>
      </c>
    </row>
    <row r="10" spans="1:17" x14ac:dyDescent="0.35">
      <c r="I10" s="3" t="s">
        <v>38</v>
      </c>
      <c r="J10" s="3">
        <v>2015</v>
      </c>
      <c r="K10" s="3">
        <v>15</v>
      </c>
    </row>
    <row r="11" spans="1:17" x14ac:dyDescent="0.35">
      <c r="I11" s="3" t="s">
        <v>38</v>
      </c>
      <c r="J11" s="3">
        <v>2015</v>
      </c>
      <c r="K11" s="3">
        <v>15</v>
      </c>
      <c r="N11" s="48" t="s">
        <v>108</v>
      </c>
      <c r="O11" s="47" t="s">
        <v>109</v>
      </c>
      <c r="P11" s="49"/>
      <c r="Q11" s="48"/>
    </row>
    <row r="12" spans="1:17" ht="35.5" x14ac:dyDescent="0.35">
      <c r="I12" s="3" t="s">
        <v>40</v>
      </c>
      <c r="J12" s="3">
        <v>2014</v>
      </c>
      <c r="K12" s="3">
        <v>34</v>
      </c>
      <c r="N12" s="50" t="s">
        <v>110</v>
      </c>
      <c r="O12" s="44"/>
      <c r="P12" s="51" t="s">
        <v>111</v>
      </c>
      <c r="Q12" s="51" t="s">
        <v>112</v>
      </c>
    </row>
    <row r="13" spans="1:17" x14ac:dyDescent="0.35">
      <c r="I13" s="3" t="s">
        <v>38</v>
      </c>
      <c r="J13" s="3">
        <v>2012</v>
      </c>
      <c r="K13" s="3">
        <v>19</v>
      </c>
      <c r="N13" s="52" t="s">
        <v>113</v>
      </c>
      <c r="O13" s="44"/>
      <c r="P13" s="53">
        <v>275</v>
      </c>
      <c r="Q13" s="53">
        <v>349</v>
      </c>
    </row>
    <row r="14" spans="1:17" x14ac:dyDescent="0.35">
      <c r="I14" s="3" t="s">
        <v>38</v>
      </c>
      <c r="J14" s="3">
        <v>2012</v>
      </c>
      <c r="K14" s="3">
        <v>15</v>
      </c>
      <c r="N14" s="50" t="s">
        <v>114</v>
      </c>
      <c r="O14" s="44"/>
      <c r="P14" s="54">
        <v>279</v>
      </c>
      <c r="Q14" s="54">
        <v>354</v>
      </c>
    </row>
    <row r="15" spans="1:17" x14ac:dyDescent="0.35">
      <c r="I15" s="3" t="s">
        <v>38</v>
      </c>
      <c r="J15" s="3">
        <v>2016</v>
      </c>
      <c r="K15" s="3">
        <v>19</v>
      </c>
      <c r="N15" s="52" t="s">
        <v>115</v>
      </c>
      <c r="O15" s="44"/>
      <c r="P15" s="53">
        <v>283</v>
      </c>
      <c r="Q15" s="53">
        <v>359</v>
      </c>
    </row>
    <row r="16" spans="1:17" x14ac:dyDescent="0.35">
      <c r="I16" s="3" t="s">
        <v>38</v>
      </c>
      <c r="J16" s="3">
        <v>2016</v>
      </c>
      <c r="K16" s="3">
        <v>19</v>
      </c>
      <c r="N16" s="50" t="s">
        <v>116</v>
      </c>
      <c r="O16" s="44"/>
      <c r="P16" s="54">
        <v>289</v>
      </c>
      <c r="Q16" s="54">
        <v>366</v>
      </c>
    </row>
    <row r="17" spans="1:21" x14ac:dyDescent="0.35">
      <c r="I17" s="3" t="s">
        <v>38</v>
      </c>
      <c r="J17" s="3">
        <v>2015</v>
      </c>
      <c r="K17" s="3">
        <v>21</v>
      </c>
      <c r="N17" s="52" t="s">
        <v>117</v>
      </c>
      <c r="O17" s="44"/>
      <c r="P17" s="53">
        <v>285</v>
      </c>
      <c r="Q17" s="53">
        <v>361</v>
      </c>
    </row>
    <row r="18" spans="1:21" x14ac:dyDescent="0.35">
      <c r="I18" s="3" t="s">
        <v>38</v>
      </c>
      <c r="J18" s="3">
        <v>2016</v>
      </c>
      <c r="K18" s="3">
        <v>11</v>
      </c>
      <c r="N18" s="50" t="s">
        <v>118</v>
      </c>
      <c r="O18" s="44"/>
      <c r="P18" s="54">
        <v>290</v>
      </c>
      <c r="Q18" s="54">
        <v>367</v>
      </c>
    </row>
    <row r="19" spans="1:21" x14ac:dyDescent="0.35">
      <c r="I19" s="3" t="s">
        <v>38</v>
      </c>
      <c r="J19" s="3">
        <v>2011</v>
      </c>
      <c r="K19" s="3">
        <v>20</v>
      </c>
      <c r="N19" s="52" t="s">
        <v>119</v>
      </c>
      <c r="O19" s="44"/>
      <c r="P19" s="53">
        <v>283</v>
      </c>
      <c r="Q19" s="53">
        <v>357</v>
      </c>
    </row>
    <row r="20" spans="1:21" x14ac:dyDescent="0.35">
      <c r="I20" s="3" t="s">
        <v>38</v>
      </c>
      <c r="J20" s="3">
        <v>2017</v>
      </c>
      <c r="K20" s="3">
        <v>19</v>
      </c>
      <c r="N20" s="55" t="s">
        <v>120</v>
      </c>
      <c r="O20" s="44"/>
      <c r="P20" s="56">
        <v>287</v>
      </c>
      <c r="Q20" s="56">
        <v>364</v>
      </c>
    </row>
    <row r="21" spans="1:21" x14ac:dyDescent="0.35">
      <c r="I21" s="3" t="s">
        <v>38</v>
      </c>
      <c r="J21" s="3">
        <v>2016</v>
      </c>
      <c r="K21" s="3">
        <v>20</v>
      </c>
    </row>
    <row r="22" spans="1:21" x14ac:dyDescent="0.35">
      <c r="I22" s="3" t="s">
        <v>40</v>
      </c>
      <c r="J22" s="3">
        <v>2016</v>
      </c>
      <c r="K22" s="3">
        <v>37</v>
      </c>
    </row>
    <row r="24" spans="1:21" x14ac:dyDescent="0.35">
      <c r="U24" s="3" t="s">
        <v>94</v>
      </c>
    </row>
    <row r="27" spans="1:21" x14ac:dyDescent="0.35">
      <c r="A27" s="14" t="s">
        <v>93</v>
      </c>
      <c r="B27" s="12" t="s">
        <v>127</v>
      </c>
      <c r="C27" s="63">
        <v>3484</v>
      </c>
      <c r="D27" s="12"/>
      <c r="E27" s="12"/>
    </row>
    <row r="28" spans="1:21" x14ac:dyDescent="0.35">
      <c r="A28" s="35" t="s">
        <v>125</v>
      </c>
      <c r="B28" s="14"/>
      <c r="C28" s="14"/>
      <c r="D28" s="14"/>
      <c r="E28" s="12"/>
    </row>
    <row r="29" spans="1:21" x14ac:dyDescent="0.35">
      <c r="E29" s="12"/>
    </row>
    <row r="30" spans="1:21" x14ac:dyDescent="0.35">
      <c r="A30" s="3" t="s">
        <v>95</v>
      </c>
      <c r="B30" s="40">
        <v>1</v>
      </c>
      <c r="C30" s="12">
        <v>2</v>
      </c>
      <c r="D30" s="12"/>
      <c r="E30" s="12"/>
    </row>
    <row r="31" spans="1:21" x14ac:dyDescent="0.35">
      <c r="A31" s="3" t="s">
        <v>96</v>
      </c>
      <c r="B31" s="38" t="s">
        <v>99</v>
      </c>
      <c r="C31" s="37" t="s">
        <v>101</v>
      </c>
      <c r="D31" s="12"/>
      <c r="E31" s="12"/>
      <c r="G31" s="61" t="s">
        <v>98</v>
      </c>
      <c r="H31" s="4" t="s">
        <v>121</v>
      </c>
      <c r="I31" s="4" t="s">
        <v>122</v>
      </c>
      <c r="J31" s="4" t="s">
        <v>123</v>
      </c>
      <c r="K31" s="4" t="s">
        <v>77</v>
      </c>
    </row>
    <row r="32" spans="1:21" x14ac:dyDescent="0.35">
      <c r="A32" s="34" t="s">
        <v>97</v>
      </c>
      <c r="B32" s="39">
        <v>64</v>
      </c>
      <c r="C32" s="15">
        <v>20</v>
      </c>
      <c r="D32" s="15"/>
      <c r="E32" s="15"/>
      <c r="F32" s="2"/>
      <c r="G32" s="66">
        <f>SUM(B32:F32)</f>
        <v>84</v>
      </c>
      <c r="H32" s="67"/>
      <c r="I32" s="68">
        <v>5</v>
      </c>
      <c r="J32" s="68"/>
      <c r="K32" s="68"/>
      <c r="N32" s="15" t="s">
        <v>75</v>
      </c>
      <c r="O32" s="30">
        <v>5</v>
      </c>
      <c r="P32" s="2" t="s">
        <v>78</v>
      </c>
    </row>
    <row r="33" spans="1:18" x14ac:dyDescent="0.35">
      <c r="A33" s="34"/>
      <c r="B33" s="16"/>
      <c r="C33" s="15">
        <v>20</v>
      </c>
      <c r="D33" s="15"/>
      <c r="E33" s="15"/>
      <c r="F33" s="2"/>
      <c r="G33" s="66">
        <f>SUM(B33:F33)</f>
        <v>20</v>
      </c>
      <c r="H33" s="67"/>
      <c r="I33" s="68"/>
      <c r="J33" s="68"/>
      <c r="K33" s="68"/>
      <c r="N33" s="15" t="s">
        <v>76</v>
      </c>
      <c r="O33" s="30">
        <v>21</v>
      </c>
      <c r="P33" s="2" t="s">
        <v>78</v>
      </c>
    </row>
    <row r="34" spans="1:18" x14ac:dyDescent="0.35">
      <c r="A34" s="34"/>
      <c r="B34" s="34"/>
      <c r="C34" s="34"/>
      <c r="D34" s="34"/>
      <c r="E34" s="34"/>
      <c r="F34" s="34"/>
      <c r="G34" s="58">
        <f>G32+G33</f>
        <v>104</v>
      </c>
      <c r="H34" s="60">
        <f>(G34*$Q$20)/1000000</f>
        <v>3.7856000000000001E-2</v>
      </c>
      <c r="I34" s="57">
        <f>H34*I32</f>
        <v>0.18928</v>
      </c>
      <c r="J34" s="57">
        <f>H34*O33</f>
        <v>0.79497600000000002</v>
      </c>
      <c r="K34" s="57">
        <f>H34*O34</f>
        <v>7.1926399999999999</v>
      </c>
      <c r="N34" s="15" t="s">
        <v>77</v>
      </c>
      <c r="O34" s="30">
        <v>190</v>
      </c>
      <c r="P34" s="2" t="s">
        <v>78</v>
      </c>
    </row>
    <row r="35" spans="1:18" x14ac:dyDescent="0.35">
      <c r="A35" s="34"/>
      <c r="B35" s="34"/>
      <c r="C35" s="34"/>
      <c r="D35" s="34"/>
      <c r="E35" s="34"/>
      <c r="F35" s="34"/>
      <c r="G35" s="36" t="s">
        <v>128</v>
      </c>
      <c r="H35" s="64">
        <f>H34*1000000/$C$27</f>
        <v>10.865671641791044</v>
      </c>
      <c r="I35" s="65">
        <f>I34*1000000/$C$27</f>
        <v>54.328358208955223</v>
      </c>
      <c r="J35" s="65">
        <f>J34*1000000/$C$27</f>
        <v>228.17910447761193</v>
      </c>
      <c r="K35" s="65">
        <f t="shared" ref="K35" si="0">K34*1000000/$C$27</f>
        <v>2064.4776119402986</v>
      </c>
    </row>
    <row r="36" spans="1:18" x14ac:dyDescent="0.35">
      <c r="A36" s="34"/>
      <c r="B36" s="34"/>
      <c r="C36" s="34"/>
      <c r="D36" s="34"/>
      <c r="E36" s="34"/>
      <c r="F36" s="34"/>
      <c r="G36" s="36"/>
      <c r="H36" s="4"/>
    </row>
    <row r="37" spans="1:18" x14ac:dyDescent="0.35">
      <c r="A37" s="41" t="s">
        <v>92</v>
      </c>
      <c r="B37" s="12" t="s">
        <v>127</v>
      </c>
      <c r="C37" s="63">
        <v>3484</v>
      </c>
      <c r="D37" s="12"/>
      <c r="E37" s="12"/>
      <c r="G37" s="59"/>
      <c r="H37" s="59"/>
    </row>
    <row r="38" spans="1:18" x14ac:dyDescent="0.35">
      <c r="A38" s="34" t="s">
        <v>126</v>
      </c>
      <c r="B38" s="37"/>
      <c r="C38" s="12"/>
      <c r="D38" s="12"/>
      <c r="E38" s="12"/>
      <c r="G38" s="59"/>
      <c r="H38" s="59"/>
    </row>
    <row r="39" spans="1:18" x14ac:dyDescent="0.35">
      <c r="A39" s="3" t="s">
        <v>95</v>
      </c>
      <c r="B39" s="40">
        <v>1</v>
      </c>
      <c r="C39" s="12">
        <v>2</v>
      </c>
      <c r="D39" s="12"/>
      <c r="E39" s="12"/>
      <c r="G39" s="59"/>
      <c r="H39" s="59"/>
    </row>
    <row r="40" spans="1:18" x14ac:dyDescent="0.35">
      <c r="A40" s="3" t="s">
        <v>96</v>
      </c>
      <c r="B40" s="38" t="s">
        <v>99</v>
      </c>
      <c r="C40" s="37" t="s">
        <v>101</v>
      </c>
      <c r="D40" s="12"/>
      <c r="E40" s="12"/>
      <c r="G40" s="62" t="s">
        <v>98</v>
      </c>
      <c r="H40" s="4" t="s">
        <v>121</v>
      </c>
      <c r="I40" s="4" t="s">
        <v>122</v>
      </c>
      <c r="J40" s="4" t="s">
        <v>123</v>
      </c>
      <c r="K40" s="4" t="s">
        <v>77</v>
      </c>
      <c r="N40" s="4" t="s">
        <v>130</v>
      </c>
    </row>
    <row r="41" spans="1:18" x14ac:dyDescent="0.35">
      <c r="A41" s="34" t="s">
        <v>97</v>
      </c>
      <c r="B41" s="39">
        <v>28</v>
      </c>
      <c r="C41" s="15">
        <v>35</v>
      </c>
      <c r="D41" s="15"/>
      <c r="E41" s="15"/>
      <c r="F41" s="2"/>
      <c r="G41" s="66">
        <f>SUM(B41:F41)</f>
        <v>63</v>
      </c>
      <c r="H41" s="67"/>
      <c r="I41" s="68">
        <v>5</v>
      </c>
      <c r="J41" s="68"/>
      <c r="K41" s="68"/>
    </row>
    <row r="42" spans="1:18" x14ac:dyDescent="0.35">
      <c r="A42" s="34" t="s">
        <v>100</v>
      </c>
      <c r="B42" s="16"/>
      <c r="C42" s="15">
        <v>28</v>
      </c>
      <c r="D42" s="15"/>
      <c r="E42" s="15"/>
      <c r="F42" s="2"/>
      <c r="G42" s="66">
        <f>SUM(B42:F42)</f>
        <v>28</v>
      </c>
      <c r="H42" s="67"/>
      <c r="I42" s="68"/>
      <c r="J42" s="68"/>
      <c r="K42" s="68"/>
      <c r="N42" s="2" t="s">
        <v>183</v>
      </c>
      <c r="O42" s="2" t="s">
        <v>131</v>
      </c>
      <c r="P42" s="2">
        <v>100</v>
      </c>
      <c r="Q42" s="2" t="s">
        <v>80</v>
      </c>
      <c r="R42" s="2">
        <f>Lähtöoletukset!B29</f>
        <v>364</v>
      </c>
    </row>
    <row r="43" spans="1:18" x14ac:dyDescent="0.35">
      <c r="A43" s="34"/>
      <c r="B43" s="12"/>
      <c r="C43" s="12"/>
      <c r="D43" s="12"/>
      <c r="E43" s="12"/>
      <c r="G43" s="58">
        <f>G41+G42</f>
        <v>91</v>
      </c>
      <c r="H43" s="60">
        <f>(G43*$Q$20)/1000000</f>
        <v>3.3124000000000001E-2</v>
      </c>
      <c r="I43" s="57">
        <f>H43*I41</f>
        <v>0.16561999999999999</v>
      </c>
      <c r="J43" s="57">
        <f>H43*O33</f>
        <v>0.695604</v>
      </c>
      <c r="K43" s="57">
        <f>H43*O34</f>
        <v>6.2935600000000003</v>
      </c>
      <c r="N43" s="2" t="s">
        <v>86</v>
      </c>
      <c r="O43" s="2"/>
      <c r="P43" s="68">
        <f>Laskuri!H21</f>
        <v>100</v>
      </c>
      <c r="Q43" s="68" t="s">
        <v>80</v>
      </c>
      <c r="R43" s="24">
        <f>P43/P42*R42</f>
        <v>364</v>
      </c>
    </row>
    <row r="44" spans="1:18" x14ac:dyDescent="0.35">
      <c r="A44" s="34"/>
      <c r="B44" s="12"/>
      <c r="C44" s="12"/>
      <c r="D44" s="12"/>
      <c r="E44" s="12"/>
      <c r="G44" s="36" t="s">
        <v>128</v>
      </c>
      <c r="H44" s="64">
        <f>H43*1000000/$C$37</f>
        <v>9.5074626865671643</v>
      </c>
      <c r="I44" s="65">
        <f t="shared" ref="I44:K44" si="1">I43*1000000/$C$37</f>
        <v>47.537313432835823</v>
      </c>
      <c r="J44" s="65">
        <f t="shared" si="1"/>
        <v>199.65671641791045</v>
      </c>
      <c r="K44" s="65">
        <f t="shared" si="1"/>
        <v>1806.4179104477612</v>
      </c>
    </row>
    <row r="45" spans="1:18" x14ac:dyDescent="0.35">
      <c r="A45" s="41" t="s">
        <v>0</v>
      </c>
      <c r="B45" s="12" t="s">
        <v>127</v>
      </c>
      <c r="C45" s="63">
        <v>6322</v>
      </c>
      <c r="D45" s="12"/>
      <c r="E45" s="12"/>
      <c r="G45" s="59"/>
      <c r="H45" s="59"/>
      <c r="N45" s="2" t="s">
        <v>129</v>
      </c>
      <c r="O45" s="24"/>
      <c r="P45" s="2"/>
      <c r="Q45" s="2"/>
      <c r="R45" s="24">
        <f>G57*O34</f>
        <v>1078.896</v>
      </c>
    </row>
    <row r="46" spans="1:18" x14ac:dyDescent="0.35">
      <c r="A46" s="43" t="s">
        <v>124</v>
      </c>
      <c r="B46" s="12"/>
      <c r="C46" s="12"/>
      <c r="D46" s="12"/>
      <c r="E46" s="12"/>
      <c r="G46" s="59"/>
      <c r="H46" s="59"/>
    </row>
    <row r="47" spans="1:18" x14ac:dyDescent="0.35">
      <c r="A47" s="41"/>
      <c r="B47" s="12"/>
      <c r="C47" s="12"/>
      <c r="D47" s="12"/>
      <c r="E47" s="12"/>
      <c r="G47" s="59"/>
      <c r="N47" s="2" t="s">
        <v>182</v>
      </c>
      <c r="O47" s="2"/>
      <c r="P47" s="2">
        <f>Lähtöoletukset!B35</f>
        <v>5</v>
      </c>
      <c r="Q47" s="2"/>
      <c r="R47" s="71">
        <f>R45*Laskuri!C4/1000000</f>
        <v>21.308195999999999</v>
      </c>
    </row>
    <row r="48" spans="1:18" x14ac:dyDescent="0.35">
      <c r="A48" s="3" t="s">
        <v>95</v>
      </c>
      <c r="B48" s="12">
        <v>1</v>
      </c>
      <c r="C48" s="12">
        <v>2</v>
      </c>
      <c r="D48" s="12">
        <v>3</v>
      </c>
      <c r="E48" s="12">
        <v>4</v>
      </c>
      <c r="F48" s="3">
        <v>5</v>
      </c>
      <c r="G48" s="59"/>
      <c r="H48" s="59"/>
      <c r="I48" s="3">
        <v>5</v>
      </c>
      <c r="N48" s="25" t="s">
        <v>132</v>
      </c>
      <c r="O48" s="24"/>
      <c r="P48" s="68">
        <f>Laskuri!H19</f>
        <v>5</v>
      </c>
      <c r="Q48" s="68"/>
      <c r="R48" s="72">
        <f>P48/P47*R47</f>
        <v>21.308195999999999</v>
      </c>
    </row>
    <row r="49" spans="1:11" x14ac:dyDescent="0.35">
      <c r="A49" s="3" t="s">
        <v>96</v>
      </c>
      <c r="B49" s="12" t="s">
        <v>90</v>
      </c>
      <c r="C49" s="42" t="s">
        <v>91</v>
      </c>
      <c r="D49" s="12"/>
      <c r="E49" s="12"/>
      <c r="G49" s="62" t="s">
        <v>98</v>
      </c>
      <c r="H49" s="4" t="s">
        <v>121</v>
      </c>
      <c r="I49" s="4" t="s">
        <v>122</v>
      </c>
      <c r="J49" s="4" t="s">
        <v>123</v>
      </c>
      <c r="K49" s="4" t="s">
        <v>77</v>
      </c>
    </row>
    <row r="50" spans="1:11" x14ac:dyDescent="0.35">
      <c r="A50" s="34" t="s">
        <v>97</v>
      </c>
      <c r="B50" s="15">
        <v>18</v>
      </c>
      <c r="C50" s="15">
        <v>10</v>
      </c>
      <c r="D50" s="15">
        <v>10</v>
      </c>
      <c r="E50" s="15">
        <v>14</v>
      </c>
      <c r="F50" s="2">
        <v>10</v>
      </c>
      <c r="G50" s="66">
        <f>SUM(B50:F50)</f>
        <v>62</v>
      </c>
      <c r="H50" s="69">
        <f>(G50*$Q$20)/1000000</f>
        <v>2.2568000000000001E-2</v>
      </c>
      <c r="I50" s="70">
        <f>H50*I48</f>
        <v>0.11284000000000001</v>
      </c>
      <c r="J50" s="70">
        <f>H50*O33</f>
        <v>0.47392800000000002</v>
      </c>
      <c r="K50" s="70">
        <f>H50*O34</f>
        <v>4.2879200000000006</v>
      </c>
    </row>
    <row r="51" spans="1:11" x14ac:dyDescent="0.35">
      <c r="A51" s="34"/>
      <c r="B51" s="12"/>
      <c r="C51" s="12"/>
      <c r="D51" s="12"/>
      <c r="E51" s="12"/>
      <c r="G51" s="36" t="s">
        <v>128</v>
      </c>
      <c r="H51" s="64">
        <f>H50*1000000/$C$45</f>
        <v>3.5697564062005696</v>
      </c>
      <c r="I51" s="65">
        <f t="shared" ref="I51:J51" si="2">I50*1000000/$C$45</f>
        <v>17.848782031002848</v>
      </c>
      <c r="J51" s="65">
        <f t="shared" si="2"/>
        <v>74.964884530211961</v>
      </c>
      <c r="K51" s="65">
        <f>K50*1000000/$C$45</f>
        <v>678.25371717810833</v>
      </c>
    </row>
    <row r="52" spans="1:11" x14ac:dyDescent="0.35">
      <c r="A52" s="34"/>
      <c r="B52" s="12"/>
      <c r="C52" s="12"/>
      <c r="D52" s="12"/>
      <c r="E52" s="12"/>
      <c r="G52" s="59"/>
      <c r="H52" s="59"/>
    </row>
    <row r="53" spans="1:11" x14ac:dyDescent="0.35">
      <c r="A53" s="34"/>
      <c r="B53" s="12"/>
      <c r="C53" s="12"/>
      <c r="D53" s="12"/>
      <c r="E53" s="12"/>
      <c r="G53" s="59"/>
      <c r="H53" s="59"/>
    </row>
    <row r="54" spans="1:11" x14ac:dyDescent="0.35">
      <c r="A54" s="34"/>
      <c r="B54" s="12"/>
      <c r="C54" s="12"/>
      <c r="D54" s="12"/>
      <c r="E54" s="12"/>
      <c r="G54" s="58">
        <f>G43+G50</f>
        <v>153</v>
      </c>
      <c r="H54" s="4" t="s">
        <v>98</v>
      </c>
    </row>
    <row r="55" spans="1:11" x14ac:dyDescent="0.35">
      <c r="A55" s="34"/>
      <c r="B55" s="12"/>
      <c r="C55" s="12"/>
      <c r="D55" s="12"/>
      <c r="E55" s="12"/>
      <c r="G55" s="96">
        <f>C45+C37</f>
        <v>9806</v>
      </c>
      <c r="H55" s="4" t="s">
        <v>197</v>
      </c>
      <c r="K55" s="128"/>
    </row>
    <row r="56" spans="1:11" x14ac:dyDescent="0.35">
      <c r="A56" s="34"/>
      <c r="B56" s="12"/>
      <c r="C56" s="12"/>
      <c r="D56" s="12"/>
      <c r="E56" s="12"/>
      <c r="G56" s="164">
        <f>Lähtöoletukset!B32*P47/5</f>
        <v>1.5599999999999999E-2</v>
      </c>
      <c r="H56" s="4" t="s">
        <v>198</v>
      </c>
      <c r="K56" s="127"/>
    </row>
    <row r="57" spans="1:11" x14ac:dyDescent="0.35">
      <c r="A57" s="34"/>
      <c r="B57" s="12"/>
      <c r="C57" s="12"/>
      <c r="D57" s="12"/>
      <c r="E57" s="12"/>
      <c r="G57" s="168">
        <f>G56*R43</f>
        <v>5.6783999999999999</v>
      </c>
      <c r="H57" s="4" t="s">
        <v>199</v>
      </c>
    </row>
    <row r="58" spans="1:11" x14ac:dyDescent="0.35">
      <c r="A58" s="34"/>
      <c r="B58" s="12"/>
      <c r="C58" s="12"/>
      <c r="D58" s="12"/>
      <c r="E58" s="12"/>
    </row>
    <row r="59" spans="1:11" x14ac:dyDescent="0.35">
      <c r="A59" s="34"/>
      <c r="B59" s="12"/>
      <c r="C59" s="12"/>
      <c r="D59" s="12"/>
      <c r="E59" s="12"/>
    </row>
    <row r="60" spans="1:11" x14ac:dyDescent="0.35">
      <c r="A60" s="34"/>
      <c r="B60" s="12"/>
      <c r="C60" s="12"/>
      <c r="D60" s="12"/>
      <c r="E60" s="12"/>
    </row>
    <row r="61" spans="1:11" x14ac:dyDescent="0.35">
      <c r="A61" s="34"/>
      <c r="B61" s="12"/>
      <c r="C61" s="12"/>
      <c r="D61" s="12"/>
      <c r="E61" s="12"/>
    </row>
    <row r="62" spans="1:11" x14ac:dyDescent="0.35">
      <c r="A62" s="34"/>
      <c r="B62" s="12"/>
      <c r="C62" s="12"/>
      <c r="D62" s="12"/>
      <c r="E62" s="12"/>
    </row>
    <row r="63" spans="1:11" x14ac:dyDescent="0.35">
      <c r="A63" s="14"/>
      <c r="B63" s="14"/>
      <c r="C63" s="14"/>
      <c r="D63" s="14"/>
      <c r="E63" s="12"/>
    </row>
    <row r="64" spans="1:11" x14ac:dyDescent="0.35">
      <c r="A64" s="34"/>
      <c r="B64" s="12"/>
      <c r="C64" s="12"/>
      <c r="D64" s="12"/>
      <c r="E64" s="12"/>
    </row>
    <row r="65" spans="1:5" x14ac:dyDescent="0.35">
      <c r="A65" s="34"/>
      <c r="B65" s="12"/>
      <c r="C65" s="12"/>
      <c r="D65" s="12"/>
      <c r="E65" s="12"/>
    </row>
    <row r="66" spans="1:5" x14ac:dyDescent="0.35">
      <c r="A66" s="34"/>
      <c r="B66" s="12"/>
      <c r="C66" s="12"/>
      <c r="D66" s="12"/>
      <c r="E66" s="12"/>
    </row>
    <row r="67" spans="1:5" x14ac:dyDescent="0.35">
      <c r="A67" s="34"/>
      <c r="B67" s="12"/>
      <c r="C67" s="12"/>
      <c r="D67" s="12"/>
      <c r="E67" s="12"/>
    </row>
    <row r="68" spans="1:5" x14ac:dyDescent="0.35">
      <c r="A68" s="34"/>
      <c r="B68" s="12"/>
      <c r="C68" s="12"/>
      <c r="D68" s="12"/>
      <c r="E68" s="12"/>
    </row>
    <row r="69" spans="1:5" x14ac:dyDescent="0.35">
      <c r="A69" s="34"/>
      <c r="B69" s="12"/>
      <c r="C69" s="12"/>
      <c r="D69" s="12"/>
      <c r="E69" s="12"/>
    </row>
    <row r="70" spans="1:5" x14ac:dyDescent="0.35">
      <c r="A70" s="34"/>
      <c r="B70" s="12"/>
      <c r="C70" s="12"/>
      <c r="D70" s="12"/>
      <c r="E70" s="12"/>
    </row>
    <row r="71" spans="1:5" x14ac:dyDescent="0.35">
      <c r="A71" s="34"/>
      <c r="B71" s="12"/>
      <c r="C71" s="12"/>
      <c r="D71" s="12"/>
      <c r="E71" s="12"/>
    </row>
    <row r="72" spans="1:5" x14ac:dyDescent="0.35">
      <c r="A72" s="34"/>
      <c r="B72" s="12"/>
      <c r="C72" s="12"/>
      <c r="D72" s="12"/>
      <c r="E72" s="12"/>
    </row>
    <row r="73" spans="1:5" x14ac:dyDescent="0.35">
      <c r="A73" s="34"/>
      <c r="B73" s="12"/>
      <c r="C73" s="12"/>
      <c r="D73" s="12"/>
      <c r="E73" s="12"/>
    </row>
    <row r="74" spans="1:5" x14ac:dyDescent="0.35">
      <c r="A74" s="34"/>
      <c r="B74" s="12"/>
      <c r="C74" s="12"/>
      <c r="D74" s="12"/>
      <c r="E74" s="12"/>
    </row>
    <row r="75" spans="1:5" x14ac:dyDescent="0.35">
      <c r="A75" s="34"/>
      <c r="B75" s="12"/>
      <c r="C75" s="12"/>
      <c r="D75" s="12"/>
      <c r="E75" s="12"/>
    </row>
    <row r="76" spans="1:5" x14ac:dyDescent="0.35">
      <c r="A76" s="34"/>
      <c r="B76" s="12"/>
      <c r="C76" s="12"/>
      <c r="D76" s="12"/>
      <c r="E76" s="12"/>
    </row>
    <row r="77" spans="1:5" x14ac:dyDescent="0.35">
      <c r="A77" s="34"/>
      <c r="B77" s="12"/>
      <c r="C77" s="12"/>
      <c r="D77" s="12"/>
      <c r="E77" s="12"/>
    </row>
    <row r="78" spans="1:5" x14ac:dyDescent="0.35">
      <c r="A78" s="34"/>
      <c r="B78" s="12"/>
      <c r="C78" s="12"/>
      <c r="D78" s="12"/>
      <c r="E78" s="12"/>
    </row>
    <row r="79" spans="1:5" x14ac:dyDescent="0.35">
      <c r="A79" s="34"/>
      <c r="B79" s="12"/>
      <c r="C79" s="12"/>
      <c r="D79" s="12"/>
      <c r="E79" s="12"/>
    </row>
    <row r="80" spans="1:5" x14ac:dyDescent="0.35">
      <c r="A80" s="34"/>
      <c r="B80" s="12"/>
      <c r="C80" s="12"/>
      <c r="D80" s="12"/>
      <c r="E80" s="12"/>
    </row>
    <row r="81" spans="1:5" x14ac:dyDescent="0.35">
      <c r="A81" s="34"/>
      <c r="B81" s="12"/>
      <c r="C81" s="12"/>
      <c r="D81" s="12"/>
      <c r="E81" s="12"/>
    </row>
    <row r="82" spans="1:5" x14ac:dyDescent="0.35">
      <c r="A82" s="34"/>
      <c r="B82" s="12"/>
      <c r="C82" s="12"/>
      <c r="D82" s="12"/>
      <c r="E82" s="12"/>
    </row>
    <row r="83" spans="1:5" x14ac:dyDescent="0.35">
      <c r="A83" s="34"/>
      <c r="B83" s="12"/>
      <c r="C83" s="12"/>
      <c r="D83" s="12"/>
      <c r="E83" s="12"/>
    </row>
    <row r="84" spans="1:5" x14ac:dyDescent="0.35">
      <c r="A84" s="34"/>
      <c r="B84" s="12"/>
      <c r="C84" s="12"/>
      <c r="D84" s="12"/>
      <c r="E84" s="12"/>
    </row>
    <row r="85" spans="1:5" x14ac:dyDescent="0.35">
      <c r="A85" s="34"/>
      <c r="B85" s="12"/>
      <c r="C85" s="12"/>
      <c r="D85" s="12"/>
      <c r="E85" s="12"/>
    </row>
    <row r="86" spans="1:5" x14ac:dyDescent="0.35">
      <c r="A86" s="34"/>
      <c r="B86" s="12"/>
      <c r="C86" s="12"/>
      <c r="D86" s="12"/>
      <c r="E86" s="12"/>
    </row>
    <row r="87" spans="1:5" x14ac:dyDescent="0.35">
      <c r="A87" s="34"/>
      <c r="B87" s="12"/>
      <c r="C87" s="12"/>
      <c r="D87" s="12"/>
      <c r="E87" s="12"/>
    </row>
    <row r="88" spans="1:5" x14ac:dyDescent="0.35">
      <c r="A88" s="34"/>
      <c r="B88" s="12"/>
      <c r="C88" s="12"/>
      <c r="D88" s="12"/>
      <c r="E88" s="12"/>
    </row>
    <row r="89" spans="1:5" x14ac:dyDescent="0.35">
      <c r="A89" s="14"/>
      <c r="B89" s="14"/>
      <c r="C89" s="14"/>
      <c r="D89" s="14"/>
      <c r="E89" s="12"/>
    </row>
    <row r="90" spans="1:5" x14ac:dyDescent="0.35">
      <c r="A90" s="34"/>
      <c r="B90" s="12"/>
      <c r="C90" s="12"/>
      <c r="D90" s="12"/>
      <c r="E90" s="12"/>
    </row>
    <row r="91" spans="1:5" x14ac:dyDescent="0.35">
      <c r="A91" s="34"/>
      <c r="B91" s="12"/>
      <c r="C91" s="12"/>
      <c r="D91" s="12"/>
      <c r="E91" s="12"/>
    </row>
    <row r="92" spans="1:5" x14ac:dyDescent="0.35">
      <c r="A92" s="34"/>
      <c r="B92" s="12"/>
      <c r="C92" s="12"/>
      <c r="D92" s="12"/>
      <c r="E92" s="12"/>
    </row>
    <row r="93" spans="1:5" x14ac:dyDescent="0.35">
      <c r="A93" s="34"/>
      <c r="B93" s="12"/>
      <c r="C93" s="12"/>
      <c r="D93" s="12"/>
      <c r="E93" s="12"/>
    </row>
    <row r="94" spans="1:5" x14ac:dyDescent="0.35">
      <c r="A94" s="34"/>
      <c r="B94" s="12"/>
      <c r="C94" s="12"/>
      <c r="D94" s="12"/>
      <c r="E94" s="12"/>
    </row>
    <row r="95" spans="1:5" x14ac:dyDescent="0.35">
      <c r="A95" s="34"/>
      <c r="B95" s="12"/>
      <c r="C95" s="12"/>
      <c r="D95" s="12"/>
      <c r="E95" s="12"/>
    </row>
    <row r="96" spans="1:5" x14ac:dyDescent="0.35">
      <c r="A96" s="34"/>
      <c r="B96" s="12"/>
      <c r="C96" s="12"/>
      <c r="D96" s="12"/>
      <c r="E96" s="12"/>
    </row>
    <row r="97" spans="1:5" x14ac:dyDescent="0.35">
      <c r="A97" s="34"/>
      <c r="B97" s="12"/>
      <c r="C97" s="12"/>
      <c r="D97" s="12"/>
      <c r="E97" s="12"/>
    </row>
    <row r="98" spans="1:5" x14ac:dyDescent="0.35">
      <c r="A98" s="34"/>
      <c r="B98" s="12"/>
      <c r="C98" s="12"/>
      <c r="D98" s="12"/>
      <c r="E98" s="12"/>
    </row>
    <row r="99" spans="1:5" x14ac:dyDescent="0.35">
      <c r="A99" s="34"/>
      <c r="B99" s="12"/>
      <c r="C99" s="12"/>
      <c r="D99" s="12"/>
      <c r="E99" s="12"/>
    </row>
    <row r="100" spans="1:5" x14ac:dyDescent="0.35">
      <c r="A100" s="34"/>
      <c r="B100" s="12"/>
      <c r="C100" s="12"/>
      <c r="D100" s="12"/>
      <c r="E100" s="12"/>
    </row>
    <row r="101" spans="1:5" x14ac:dyDescent="0.35">
      <c r="A101" s="34"/>
      <c r="B101" s="12"/>
      <c r="C101" s="12"/>
      <c r="D101" s="12"/>
      <c r="E101" s="12"/>
    </row>
    <row r="102" spans="1:5" x14ac:dyDescent="0.35">
      <c r="A102" s="34"/>
      <c r="B102" s="12"/>
      <c r="C102" s="12"/>
      <c r="D102" s="12"/>
      <c r="E102" s="12"/>
    </row>
    <row r="103" spans="1:5" x14ac:dyDescent="0.35">
      <c r="A103" s="34"/>
      <c r="B103" s="12"/>
      <c r="C103" s="12"/>
      <c r="D103" s="12"/>
      <c r="E103" s="12"/>
    </row>
    <row r="104" spans="1:5" x14ac:dyDescent="0.35">
      <c r="A104" s="34"/>
      <c r="B104" s="12"/>
      <c r="C104" s="12"/>
      <c r="D104" s="12"/>
      <c r="E104" s="12"/>
    </row>
    <row r="105" spans="1:5" x14ac:dyDescent="0.35">
      <c r="A105" s="34"/>
      <c r="B105" s="12"/>
      <c r="C105" s="12"/>
      <c r="D105" s="12"/>
      <c r="E105" s="12"/>
    </row>
    <row r="106" spans="1:5" x14ac:dyDescent="0.35">
      <c r="A106" s="34"/>
      <c r="B106" s="12"/>
      <c r="C106" s="12"/>
      <c r="D106" s="12"/>
      <c r="E106" s="12"/>
    </row>
    <row r="107" spans="1:5" x14ac:dyDescent="0.35">
      <c r="A107" s="34"/>
      <c r="B107" s="12"/>
      <c r="C107" s="12"/>
      <c r="D107" s="12"/>
      <c r="E107" s="12"/>
    </row>
    <row r="108" spans="1:5" x14ac:dyDescent="0.35">
      <c r="A108" s="34"/>
      <c r="B108" s="12"/>
      <c r="C108" s="12"/>
      <c r="D108" s="12"/>
      <c r="E108" s="12"/>
    </row>
    <row r="109" spans="1:5" x14ac:dyDescent="0.35">
      <c r="A109" s="34"/>
      <c r="B109" s="12"/>
      <c r="C109" s="12"/>
      <c r="D109" s="12"/>
      <c r="E109" s="12"/>
    </row>
    <row r="110" spans="1:5" x14ac:dyDescent="0.35">
      <c r="A110" s="34"/>
      <c r="B110" s="12"/>
      <c r="C110" s="12"/>
      <c r="D110" s="12"/>
      <c r="E110" s="12"/>
    </row>
    <row r="111" spans="1:5" x14ac:dyDescent="0.35">
      <c r="A111" s="34"/>
      <c r="B111" s="12"/>
      <c r="C111" s="12"/>
      <c r="D111" s="12"/>
      <c r="E111" s="12"/>
    </row>
    <row r="112" spans="1:5" x14ac:dyDescent="0.35">
      <c r="A112" s="34"/>
      <c r="B112" s="12"/>
      <c r="C112" s="12"/>
      <c r="D112" s="12"/>
      <c r="E112" s="12"/>
    </row>
    <row r="113" spans="1:5" x14ac:dyDescent="0.35">
      <c r="A113" s="34"/>
      <c r="B113" s="12"/>
      <c r="C113" s="12"/>
      <c r="D113" s="12"/>
      <c r="E113" s="12"/>
    </row>
    <row r="114" spans="1:5" x14ac:dyDescent="0.35">
      <c r="A114" s="34"/>
      <c r="B114" s="12"/>
      <c r="C114" s="12"/>
      <c r="D114" s="12"/>
      <c r="E114" s="12"/>
    </row>
    <row r="115" spans="1:5" x14ac:dyDescent="0.35">
      <c r="A115" s="34"/>
      <c r="B115" s="12"/>
      <c r="C115" s="12"/>
      <c r="D115" s="12"/>
      <c r="E115" s="12"/>
    </row>
    <row r="116" spans="1:5" x14ac:dyDescent="0.35">
      <c r="A116" s="34"/>
      <c r="B116" s="12"/>
      <c r="C116" s="12"/>
      <c r="D116" s="12"/>
      <c r="E116" s="12"/>
    </row>
    <row r="117" spans="1:5" x14ac:dyDescent="0.35">
      <c r="A117" s="12"/>
      <c r="B117" s="12"/>
      <c r="C117" s="12"/>
      <c r="D117" s="12"/>
      <c r="E117" s="12"/>
    </row>
    <row r="118" spans="1:5" x14ac:dyDescent="0.35">
      <c r="A118" s="12"/>
      <c r="B118" s="12"/>
      <c r="C118" s="12"/>
      <c r="D118" s="12"/>
      <c r="E118" s="12"/>
    </row>
    <row r="119" spans="1:5" x14ac:dyDescent="0.35">
      <c r="A119" s="12"/>
      <c r="B119" s="12"/>
      <c r="C119" s="12"/>
      <c r="D119" s="12"/>
      <c r="E119" s="12"/>
    </row>
    <row r="120" spans="1:5" x14ac:dyDescent="0.35">
      <c r="A120" s="12"/>
      <c r="B120" s="12"/>
      <c r="C120" s="12"/>
      <c r="D120" s="12"/>
      <c r="E120" s="12"/>
    </row>
    <row r="121" spans="1:5" x14ac:dyDescent="0.35">
      <c r="A121" s="12"/>
      <c r="B121" s="12"/>
      <c r="C121" s="12"/>
      <c r="D121" s="12"/>
      <c r="E121" s="12"/>
    </row>
    <row r="122" spans="1:5" x14ac:dyDescent="0.35">
      <c r="A122" s="12"/>
      <c r="B122" s="12"/>
      <c r="C122" s="12"/>
      <c r="D122" s="12"/>
      <c r="E122" s="12"/>
    </row>
    <row r="123" spans="1:5" x14ac:dyDescent="0.35">
      <c r="A123" s="12"/>
      <c r="B123" s="12"/>
      <c r="C123" s="12"/>
      <c r="D123" s="12"/>
      <c r="E123" s="12"/>
    </row>
    <row r="124" spans="1:5" x14ac:dyDescent="0.35">
      <c r="A124" s="12"/>
      <c r="B124" s="12"/>
      <c r="C124" s="12"/>
      <c r="D124" s="12"/>
      <c r="E124" s="12"/>
    </row>
    <row r="125" spans="1:5" x14ac:dyDescent="0.35">
      <c r="A125" s="12"/>
      <c r="B125" s="12"/>
      <c r="C125" s="12"/>
      <c r="D125" s="12"/>
      <c r="E125" s="12"/>
    </row>
    <row r="126" spans="1:5" x14ac:dyDescent="0.35">
      <c r="A126" s="12"/>
      <c r="B126" s="12"/>
      <c r="C126" s="12"/>
      <c r="D126" s="12"/>
      <c r="E126" s="12"/>
    </row>
    <row r="127" spans="1:5" x14ac:dyDescent="0.35">
      <c r="A127" s="12"/>
      <c r="B127" s="12"/>
      <c r="C127" s="12"/>
      <c r="D127" s="12"/>
      <c r="E127" s="12"/>
    </row>
    <row r="128" spans="1:5" x14ac:dyDescent="0.35">
      <c r="A128" s="12"/>
      <c r="B128" s="12"/>
      <c r="C128" s="12"/>
      <c r="D128" s="12"/>
      <c r="E128" s="12"/>
    </row>
    <row r="129" spans="1:5" x14ac:dyDescent="0.35">
      <c r="A129" s="12"/>
      <c r="B129" s="12"/>
      <c r="C129" s="12"/>
      <c r="D129" s="12"/>
      <c r="E129" s="12"/>
    </row>
    <row r="130" spans="1:5" x14ac:dyDescent="0.35">
      <c r="A130" s="12"/>
      <c r="B130" s="12"/>
      <c r="C130" s="12"/>
      <c r="D130" s="12"/>
      <c r="E130" s="12"/>
    </row>
    <row r="131" spans="1:5" x14ac:dyDescent="0.35">
      <c r="A131" s="12"/>
      <c r="B131" s="12"/>
      <c r="C131" s="12"/>
      <c r="D131" s="12"/>
      <c r="E131" s="12"/>
    </row>
    <row r="132" spans="1:5" x14ac:dyDescent="0.35">
      <c r="A132" s="12"/>
      <c r="B132" s="12"/>
      <c r="C132" s="12"/>
      <c r="D132" s="12"/>
      <c r="E132" s="12"/>
    </row>
    <row r="133" spans="1:5" x14ac:dyDescent="0.35">
      <c r="A133" s="12"/>
      <c r="B133" s="12"/>
      <c r="C133" s="12"/>
      <c r="D133" s="12"/>
      <c r="E133" s="12"/>
    </row>
    <row r="134" spans="1:5" x14ac:dyDescent="0.35">
      <c r="A134" s="12"/>
      <c r="B134" s="12"/>
      <c r="C134" s="12"/>
      <c r="D134" s="12"/>
      <c r="E134" s="12"/>
    </row>
    <row r="135" spans="1:5" x14ac:dyDescent="0.35">
      <c r="A135" s="12"/>
      <c r="B135" s="12"/>
      <c r="C135" s="12"/>
      <c r="D135" s="12"/>
      <c r="E135" s="12"/>
    </row>
    <row r="136" spans="1:5" x14ac:dyDescent="0.35">
      <c r="A136" s="12"/>
      <c r="B136" s="12"/>
      <c r="C136" s="12"/>
      <c r="D136" s="12"/>
      <c r="E136" s="12"/>
    </row>
    <row r="137" spans="1:5" x14ac:dyDescent="0.35">
      <c r="A137" s="12"/>
      <c r="B137" s="12"/>
      <c r="C137" s="12"/>
      <c r="D137" s="12"/>
      <c r="E137" s="12"/>
    </row>
    <row r="138" spans="1:5" x14ac:dyDescent="0.35">
      <c r="A138" s="12"/>
      <c r="B138" s="12"/>
      <c r="C138" s="12"/>
      <c r="D138" s="12"/>
      <c r="E138" s="12"/>
    </row>
    <row r="139" spans="1:5" x14ac:dyDescent="0.35">
      <c r="A139" s="12"/>
      <c r="B139" s="12"/>
      <c r="C139" s="12"/>
      <c r="D139" s="12"/>
      <c r="E139" s="12"/>
    </row>
    <row r="140" spans="1:5" x14ac:dyDescent="0.35">
      <c r="A140" s="12"/>
      <c r="B140" s="12"/>
      <c r="C140" s="12"/>
      <c r="D140" s="12"/>
      <c r="E140" s="12"/>
    </row>
    <row r="141" spans="1:5" x14ac:dyDescent="0.35">
      <c r="A141" s="12"/>
      <c r="B141" s="12"/>
      <c r="C141" s="12"/>
      <c r="D141" s="12"/>
      <c r="E141" s="12"/>
    </row>
    <row r="142" spans="1:5" x14ac:dyDescent="0.35">
      <c r="A142" s="12"/>
      <c r="B142" s="12"/>
      <c r="C142" s="12"/>
      <c r="D142" s="12"/>
      <c r="E142" s="12"/>
    </row>
    <row r="143" spans="1:5" x14ac:dyDescent="0.35">
      <c r="A143" s="12"/>
      <c r="B143" s="12"/>
      <c r="C143" s="12"/>
      <c r="D143" s="12"/>
      <c r="E143" s="12"/>
    </row>
    <row r="144" spans="1:5" x14ac:dyDescent="0.35">
      <c r="A144" s="12"/>
      <c r="B144" s="12"/>
      <c r="C144" s="12"/>
      <c r="D144" s="12"/>
      <c r="E144" s="12"/>
    </row>
    <row r="145" spans="1:5" x14ac:dyDescent="0.35">
      <c r="A145" s="12"/>
      <c r="B145" s="12"/>
      <c r="C145" s="12"/>
      <c r="D145" s="12"/>
      <c r="E145" s="12"/>
    </row>
    <row r="146" spans="1:5" x14ac:dyDescent="0.35">
      <c r="A146" s="12"/>
      <c r="B146" s="12"/>
      <c r="C146" s="12"/>
      <c r="D146" s="12"/>
      <c r="E146" s="12"/>
    </row>
    <row r="147" spans="1:5" x14ac:dyDescent="0.35">
      <c r="A147" s="12"/>
      <c r="B147" s="12"/>
      <c r="C147" s="12"/>
      <c r="D147" s="12"/>
      <c r="E147" s="12"/>
    </row>
    <row r="148" spans="1:5" x14ac:dyDescent="0.35">
      <c r="A148" s="12"/>
      <c r="B148" s="12"/>
      <c r="C148" s="12"/>
      <c r="D148" s="12"/>
      <c r="E148" s="12"/>
    </row>
    <row r="149" spans="1:5" x14ac:dyDescent="0.35">
      <c r="A149" s="12"/>
      <c r="B149" s="12"/>
      <c r="C149" s="12"/>
      <c r="D149" s="12"/>
      <c r="E149" s="12"/>
    </row>
    <row r="150" spans="1:5" x14ac:dyDescent="0.35">
      <c r="A150" s="12"/>
      <c r="B150" s="12"/>
      <c r="C150" s="12"/>
      <c r="D150" s="12"/>
      <c r="E150" s="12"/>
    </row>
    <row r="151" spans="1:5" x14ac:dyDescent="0.35">
      <c r="A151" s="12"/>
      <c r="B151" s="12"/>
      <c r="C151" s="12"/>
      <c r="D151" s="12"/>
      <c r="E151" s="12"/>
    </row>
    <row r="152" spans="1:5" x14ac:dyDescent="0.35">
      <c r="A152" s="12"/>
      <c r="B152" s="12"/>
      <c r="C152" s="12"/>
      <c r="D152" s="12"/>
      <c r="E152" s="12"/>
    </row>
    <row r="153" spans="1:5" x14ac:dyDescent="0.35">
      <c r="A153" s="12"/>
      <c r="B153" s="12"/>
      <c r="C153" s="12"/>
      <c r="D153" s="12"/>
      <c r="E153" s="12"/>
    </row>
    <row r="154" spans="1:5" x14ac:dyDescent="0.35">
      <c r="A154" s="12"/>
      <c r="B154" s="12"/>
      <c r="C154" s="12"/>
      <c r="D154" s="12"/>
      <c r="E154" s="12"/>
    </row>
    <row r="155" spans="1:5" x14ac:dyDescent="0.35">
      <c r="A155" s="12"/>
      <c r="B155" s="12"/>
      <c r="C155" s="12"/>
      <c r="D155" s="12"/>
      <c r="E155" s="12"/>
    </row>
    <row r="156" spans="1:5" x14ac:dyDescent="0.35">
      <c r="A156" s="12"/>
      <c r="B156" s="12"/>
      <c r="C156" s="12"/>
      <c r="D156" s="12"/>
      <c r="E156" s="12"/>
    </row>
    <row r="157" spans="1:5" x14ac:dyDescent="0.35">
      <c r="A157" s="12"/>
      <c r="B157" s="12"/>
      <c r="C157" s="12"/>
      <c r="D157" s="12"/>
      <c r="E157" s="12"/>
    </row>
    <row r="158" spans="1:5" x14ac:dyDescent="0.35">
      <c r="A158" s="12"/>
      <c r="B158" s="12"/>
      <c r="C158" s="12"/>
      <c r="D158" s="12"/>
      <c r="E158" s="12"/>
    </row>
    <row r="159" spans="1:5" x14ac:dyDescent="0.35">
      <c r="A159" s="12"/>
      <c r="B159" s="12"/>
      <c r="C159" s="12"/>
      <c r="D159" s="12"/>
      <c r="E159" s="12"/>
    </row>
    <row r="160" spans="1:5" x14ac:dyDescent="0.35">
      <c r="A160" s="12"/>
      <c r="B160" s="12"/>
      <c r="C160" s="12"/>
      <c r="D160" s="12"/>
      <c r="E160" s="12"/>
    </row>
    <row r="161" spans="1:5" x14ac:dyDescent="0.35">
      <c r="A161" s="12"/>
      <c r="B161" s="12"/>
      <c r="C161" s="12"/>
      <c r="D161" s="12"/>
      <c r="E161" s="12"/>
    </row>
    <row r="162" spans="1:5" x14ac:dyDescent="0.35">
      <c r="A162" s="12"/>
      <c r="B162" s="12"/>
      <c r="C162" s="12"/>
      <c r="D162" s="12"/>
      <c r="E162" s="12"/>
    </row>
    <row r="163" spans="1:5" x14ac:dyDescent="0.35">
      <c r="A163" s="12"/>
      <c r="B163" s="12"/>
      <c r="C163" s="12"/>
      <c r="D163" s="12"/>
      <c r="E163" s="12"/>
    </row>
    <row r="164" spans="1:5" x14ac:dyDescent="0.35">
      <c r="A164" s="12"/>
      <c r="B164" s="12"/>
      <c r="C164" s="12"/>
      <c r="D164" s="12"/>
      <c r="E164" s="12"/>
    </row>
    <row r="165" spans="1:5" x14ac:dyDescent="0.35">
      <c r="A165" s="12"/>
      <c r="B165" s="12"/>
      <c r="C165" s="12"/>
      <c r="D165" s="12"/>
      <c r="E165" s="12"/>
    </row>
    <row r="166" spans="1:5" x14ac:dyDescent="0.35">
      <c r="A166" s="12"/>
      <c r="B166" s="12"/>
      <c r="C166" s="12"/>
      <c r="D166" s="12"/>
      <c r="E166" s="12"/>
    </row>
    <row r="167" spans="1:5" x14ac:dyDescent="0.35">
      <c r="A167" s="12"/>
      <c r="B167" s="12"/>
      <c r="C167" s="12"/>
      <c r="D167" s="12"/>
      <c r="E167" s="12"/>
    </row>
    <row r="168" spans="1:5" x14ac:dyDescent="0.35">
      <c r="A168" s="12"/>
      <c r="B168" s="12"/>
      <c r="C168" s="12"/>
      <c r="D168" s="12"/>
      <c r="E168" s="12"/>
    </row>
    <row r="169" spans="1:5" x14ac:dyDescent="0.35">
      <c r="A169" s="12"/>
      <c r="B169" s="12"/>
      <c r="C169" s="12"/>
      <c r="D169" s="12"/>
      <c r="E169" s="12"/>
    </row>
    <row r="170" spans="1:5" x14ac:dyDescent="0.35">
      <c r="A170" s="12"/>
      <c r="B170" s="12"/>
      <c r="C170" s="12"/>
      <c r="D170" s="12"/>
      <c r="E170" s="12"/>
    </row>
    <row r="171" spans="1:5" x14ac:dyDescent="0.35">
      <c r="A171" s="12"/>
      <c r="B171" s="12"/>
      <c r="C171" s="12"/>
      <c r="D171" s="12"/>
      <c r="E171" s="12"/>
    </row>
    <row r="172" spans="1:5" x14ac:dyDescent="0.35">
      <c r="A172" s="12"/>
      <c r="B172" s="12"/>
      <c r="C172" s="12"/>
      <c r="D172" s="12"/>
      <c r="E172" s="12"/>
    </row>
    <row r="173" spans="1:5" x14ac:dyDescent="0.35">
      <c r="A173" s="12"/>
      <c r="B173" s="12"/>
      <c r="C173" s="12"/>
      <c r="D173" s="12"/>
      <c r="E173" s="12"/>
    </row>
    <row r="174" spans="1:5" x14ac:dyDescent="0.35">
      <c r="A174" s="12"/>
      <c r="B174" s="12"/>
      <c r="C174" s="12"/>
      <c r="D174" s="12"/>
      <c r="E174" s="12"/>
    </row>
    <row r="175" spans="1:5" x14ac:dyDescent="0.35">
      <c r="A175" s="12"/>
      <c r="B175" s="12"/>
      <c r="C175" s="12"/>
      <c r="D175" s="12"/>
      <c r="E175" s="12"/>
    </row>
    <row r="176" spans="1:5" x14ac:dyDescent="0.35">
      <c r="A176" s="12"/>
      <c r="B176" s="12"/>
      <c r="C176" s="12"/>
      <c r="D176" s="12"/>
      <c r="E176" s="12"/>
    </row>
    <row r="177" spans="1:5" x14ac:dyDescent="0.35">
      <c r="A177" s="12"/>
      <c r="B177" s="12"/>
      <c r="C177" s="12"/>
      <c r="D177" s="12"/>
      <c r="E177" s="12"/>
    </row>
    <row r="178" spans="1:5" x14ac:dyDescent="0.35">
      <c r="A178" s="12"/>
      <c r="B178" s="12"/>
      <c r="C178" s="12"/>
      <c r="D178" s="12"/>
      <c r="E178" s="12"/>
    </row>
    <row r="179" spans="1:5" x14ac:dyDescent="0.35">
      <c r="A179" s="12"/>
      <c r="B179" s="12"/>
      <c r="C179" s="12"/>
      <c r="D179" s="12"/>
      <c r="E179" s="12"/>
    </row>
    <row r="180" spans="1:5" x14ac:dyDescent="0.35">
      <c r="A180" s="12"/>
      <c r="B180" s="12"/>
      <c r="C180" s="12"/>
      <c r="D180" s="12"/>
      <c r="E180" s="12"/>
    </row>
    <row r="181" spans="1:5" x14ac:dyDescent="0.35">
      <c r="A181" s="12"/>
      <c r="B181" s="12"/>
      <c r="C181" s="12"/>
      <c r="D181" s="12"/>
      <c r="E181" s="12"/>
    </row>
    <row r="182" spans="1:5" x14ac:dyDescent="0.35">
      <c r="A182" s="12"/>
      <c r="B182" s="12"/>
      <c r="C182" s="12"/>
      <c r="D182" s="12"/>
      <c r="E182" s="12"/>
    </row>
    <row r="183" spans="1:5" x14ac:dyDescent="0.35">
      <c r="A183" s="12"/>
      <c r="B183" s="12"/>
      <c r="C183" s="12"/>
      <c r="D183" s="12"/>
      <c r="E183" s="12"/>
    </row>
    <row r="184" spans="1:5" x14ac:dyDescent="0.35">
      <c r="A184" s="12"/>
      <c r="B184" s="12"/>
      <c r="C184" s="12"/>
      <c r="D184" s="12"/>
      <c r="E184" s="12"/>
    </row>
    <row r="185" spans="1:5" x14ac:dyDescent="0.35">
      <c r="A185" s="12"/>
      <c r="B185" s="12"/>
      <c r="C185" s="12"/>
      <c r="D185" s="12"/>
      <c r="E185" s="12"/>
    </row>
    <row r="186" spans="1:5" x14ac:dyDescent="0.35">
      <c r="A186" s="12"/>
      <c r="B186" s="12"/>
      <c r="C186" s="12"/>
      <c r="D186" s="12"/>
      <c r="E186" s="12"/>
    </row>
    <row r="187" spans="1:5" x14ac:dyDescent="0.35">
      <c r="A187" s="12"/>
      <c r="B187" s="12"/>
      <c r="C187" s="12"/>
      <c r="D187" s="12"/>
      <c r="E187" s="12"/>
    </row>
    <row r="188" spans="1:5" x14ac:dyDescent="0.35">
      <c r="A188" s="12"/>
      <c r="B188" s="12"/>
      <c r="C188" s="12"/>
      <c r="D188" s="12"/>
      <c r="E188" s="12"/>
    </row>
    <row r="189" spans="1:5" x14ac:dyDescent="0.35">
      <c r="A189" s="12"/>
      <c r="B189" s="12"/>
      <c r="C189" s="12"/>
      <c r="D189" s="12"/>
      <c r="E189" s="12"/>
    </row>
    <row r="190" spans="1:5" x14ac:dyDescent="0.35">
      <c r="A190" s="12"/>
      <c r="B190" s="12"/>
      <c r="C190" s="12"/>
      <c r="D190" s="12"/>
      <c r="E190" s="12"/>
    </row>
    <row r="191" spans="1:5" x14ac:dyDescent="0.35">
      <c r="A191" s="12"/>
      <c r="B191" s="12"/>
      <c r="C191" s="12"/>
      <c r="D191" s="12"/>
      <c r="E191" s="12"/>
    </row>
    <row r="192" spans="1:5" x14ac:dyDescent="0.35">
      <c r="A192" s="12"/>
      <c r="B192" s="12"/>
      <c r="C192" s="12"/>
      <c r="D192" s="12"/>
      <c r="E192" s="12"/>
    </row>
    <row r="193" spans="1:5" x14ac:dyDescent="0.35">
      <c r="A193" s="12"/>
      <c r="B193" s="12"/>
      <c r="C193" s="12"/>
      <c r="D193" s="12"/>
      <c r="E193" s="12"/>
    </row>
    <row r="194" spans="1:5" x14ac:dyDescent="0.35">
      <c r="A194" s="12"/>
      <c r="B194" s="12"/>
      <c r="C194" s="12"/>
      <c r="D194" s="12"/>
      <c r="E194" s="12"/>
    </row>
    <row r="195" spans="1:5" x14ac:dyDescent="0.35">
      <c r="A195" s="12"/>
      <c r="B195" s="12"/>
      <c r="C195" s="12"/>
      <c r="D195" s="12"/>
      <c r="E195" s="12"/>
    </row>
    <row r="196" spans="1:5" x14ac:dyDescent="0.35">
      <c r="A196" s="12"/>
      <c r="B196" s="12"/>
      <c r="C196" s="12"/>
      <c r="D196" s="12"/>
      <c r="E196" s="12"/>
    </row>
    <row r="197" spans="1:5" x14ac:dyDescent="0.35">
      <c r="A197" s="12"/>
      <c r="B197" s="12"/>
      <c r="C197" s="12"/>
      <c r="D197" s="12"/>
      <c r="E197" s="12"/>
    </row>
    <row r="198" spans="1:5" x14ac:dyDescent="0.35">
      <c r="A198" s="12"/>
      <c r="B198" s="12"/>
      <c r="C198" s="12"/>
      <c r="D198" s="12"/>
      <c r="E198" s="12"/>
    </row>
    <row r="199" spans="1:5" x14ac:dyDescent="0.35">
      <c r="A199" s="12"/>
      <c r="B199" s="12"/>
      <c r="C199" s="12"/>
      <c r="D199" s="12"/>
      <c r="E199" s="12"/>
    </row>
    <row r="200" spans="1:5" x14ac:dyDescent="0.35">
      <c r="A200" s="12"/>
      <c r="B200" s="12"/>
      <c r="C200" s="12"/>
      <c r="D200" s="12"/>
      <c r="E200" s="12"/>
    </row>
    <row r="201" spans="1:5" x14ac:dyDescent="0.35">
      <c r="A201" s="12"/>
      <c r="B201" s="12"/>
      <c r="C201" s="12"/>
      <c r="D201" s="12"/>
      <c r="E201" s="12"/>
    </row>
    <row r="202" spans="1:5" x14ac:dyDescent="0.35">
      <c r="A202" s="12"/>
      <c r="B202" s="12"/>
      <c r="C202" s="12"/>
      <c r="D202" s="12"/>
      <c r="E202" s="12"/>
    </row>
    <row r="203" spans="1:5" x14ac:dyDescent="0.35">
      <c r="A203" s="12"/>
      <c r="B203" s="12"/>
      <c r="C203" s="12"/>
      <c r="D203" s="12"/>
      <c r="E203" s="12"/>
    </row>
    <row r="204" spans="1:5" x14ac:dyDescent="0.35">
      <c r="A204" s="12"/>
      <c r="B204" s="12"/>
      <c r="C204" s="12"/>
      <c r="D204" s="12"/>
      <c r="E204" s="12"/>
    </row>
    <row r="205" spans="1:5" x14ac:dyDescent="0.35">
      <c r="A205" s="12"/>
      <c r="B205" s="12"/>
      <c r="C205" s="12"/>
      <c r="D205" s="12"/>
      <c r="E205" s="12"/>
    </row>
    <row r="206" spans="1:5" x14ac:dyDescent="0.35">
      <c r="A206" s="12"/>
      <c r="B206" s="12"/>
      <c r="C206" s="12"/>
      <c r="D206" s="12"/>
      <c r="E206" s="12"/>
    </row>
    <row r="207" spans="1:5" x14ac:dyDescent="0.35">
      <c r="A207" s="12"/>
      <c r="B207" s="12"/>
      <c r="C207" s="12"/>
      <c r="D207" s="12"/>
      <c r="E207" s="12"/>
    </row>
    <row r="208" spans="1:5" x14ac:dyDescent="0.35">
      <c r="A208" s="12"/>
      <c r="B208" s="12"/>
      <c r="C208" s="12"/>
      <c r="D208" s="12"/>
      <c r="E208" s="12"/>
    </row>
    <row r="209" spans="1:5" x14ac:dyDescent="0.35">
      <c r="A209" s="12"/>
      <c r="B209" s="12"/>
      <c r="C209" s="12"/>
      <c r="D209" s="12"/>
      <c r="E209" s="12"/>
    </row>
    <row r="210" spans="1:5" x14ac:dyDescent="0.35">
      <c r="A210" s="12"/>
      <c r="B210" s="12"/>
      <c r="C210" s="12"/>
      <c r="D210" s="12"/>
      <c r="E210" s="12"/>
    </row>
    <row r="211" spans="1:5" x14ac:dyDescent="0.35">
      <c r="A211" s="12"/>
      <c r="B211" s="12"/>
      <c r="C211" s="12"/>
      <c r="D211" s="12"/>
      <c r="E211" s="12"/>
    </row>
    <row r="212" spans="1:5" x14ac:dyDescent="0.35">
      <c r="A212" s="12"/>
      <c r="B212" s="12"/>
      <c r="C212" s="12"/>
      <c r="D212" s="12"/>
      <c r="E212" s="12"/>
    </row>
    <row r="213" spans="1:5" x14ac:dyDescent="0.35">
      <c r="A213" s="12"/>
      <c r="B213" s="12"/>
      <c r="C213" s="12"/>
      <c r="D213" s="12"/>
      <c r="E213" s="12"/>
    </row>
    <row r="214" spans="1:5" x14ac:dyDescent="0.35">
      <c r="A214" s="12"/>
      <c r="B214" s="12"/>
      <c r="C214" s="12"/>
      <c r="D214" s="12"/>
      <c r="E214" s="12"/>
    </row>
    <row r="215" spans="1:5" x14ac:dyDescent="0.35">
      <c r="A215" s="12"/>
      <c r="B215" s="12"/>
      <c r="C215" s="12"/>
      <c r="D215" s="12"/>
      <c r="E215" s="12"/>
    </row>
    <row r="216" spans="1:5" x14ac:dyDescent="0.35">
      <c r="A216" s="12"/>
      <c r="B216" s="12"/>
      <c r="C216" s="12"/>
      <c r="D216" s="12"/>
      <c r="E216" s="12"/>
    </row>
    <row r="217" spans="1:5" x14ac:dyDescent="0.35">
      <c r="A217" s="12"/>
      <c r="B217" s="12"/>
      <c r="C217" s="12"/>
      <c r="D217" s="12"/>
      <c r="E217" s="12"/>
    </row>
    <row r="218" spans="1:5" x14ac:dyDescent="0.35">
      <c r="A218" s="12"/>
      <c r="B218" s="12"/>
      <c r="C218" s="12"/>
      <c r="D218" s="12"/>
      <c r="E218" s="12"/>
    </row>
    <row r="219" spans="1:5" x14ac:dyDescent="0.35">
      <c r="A219" s="12"/>
      <c r="B219" s="12"/>
      <c r="C219" s="12"/>
      <c r="D219" s="12"/>
      <c r="E219" s="12"/>
    </row>
    <row r="220" spans="1:5" x14ac:dyDescent="0.35">
      <c r="A220" s="12"/>
      <c r="B220" s="12"/>
      <c r="C220" s="12"/>
      <c r="D220" s="12"/>
      <c r="E220" s="12"/>
    </row>
    <row r="221" spans="1:5" x14ac:dyDescent="0.35">
      <c r="A221" s="12"/>
      <c r="B221" s="12"/>
      <c r="C221" s="12"/>
      <c r="D221" s="12"/>
      <c r="E221" s="12"/>
    </row>
    <row r="222" spans="1:5" x14ac:dyDescent="0.35">
      <c r="A222" s="12"/>
      <c r="B222" s="12"/>
      <c r="C222" s="12"/>
      <c r="D222" s="12"/>
      <c r="E222" s="12"/>
    </row>
    <row r="223" spans="1:5" x14ac:dyDescent="0.35">
      <c r="A223" s="12"/>
      <c r="B223" s="12"/>
      <c r="C223" s="12"/>
      <c r="D223" s="12"/>
      <c r="E223" s="12"/>
    </row>
    <row r="224" spans="1:5" x14ac:dyDescent="0.35">
      <c r="A224" s="12"/>
      <c r="B224" s="12"/>
      <c r="C224" s="12"/>
      <c r="D224" s="12"/>
      <c r="E224" s="12"/>
    </row>
    <row r="225" spans="1:5" x14ac:dyDescent="0.35">
      <c r="A225" s="12"/>
      <c r="B225" s="12"/>
      <c r="C225" s="12"/>
      <c r="D225" s="12"/>
      <c r="E225" s="12"/>
    </row>
    <row r="226" spans="1:5" x14ac:dyDescent="0.35">
      <c r="A226" s="12"/>
      <c r="B226" s="12"/>
      <c r="C226" s="12"/>
      <c r="D226" s="12"/>
      <c r="E226" s="12"/>
    </row>
    <row r="227" spans="1:5" x14ac:dyDescent="0.35">
      <c r="A227" s="12"/>
      <c r="B227" s="12"/>
      <c r="C227" s="12"/>
      <c r="D227" s="12"/>
      <c r="E227" s="12"/>
    </row>
    <row r="228" spans="1:5" x14ac:dyDescent="0.35">
      <c r="A228" s="12"/>
      <c r="B228" s="12"/>
      <c r="C228" s="12"/>
      <c r="D228" s="12"/>
      <c r="E228" s="12"/>
    </row>
    <row r="229" spans="1:5" x14ac:dyDescent="0.35">
      <c r="A229" s="12"/>
      <c r="B229" s="12"/>
      <c r="C229" s="12"/>
      <c r="D229" s="12"/>
      <c r="E229" s="12"/>
    </row>
    <row r="230" spans="1:5" x14ac:dyDescent="0.35">
      <c r="A230" s="12"/>
      <c r="B230" s="12"/>
      <c r="C230" s="12"/>
      <c r="D230" s="12"/>
      <c r="E230" s="12"/>
    </row>
    <row r="231" spans="1:5" x14ac:dyDescent="0.35">
      <c r="A231" s="12"/>
      <c r="B231" s="12"/>
      <c r="C231" s="12"/>
      <c r="D231" s="12"/>
      <c r="E231" s="12"/>
    </row>
    <row r="232" spans="1:5" x14ac:dyDescent="0.35">
      <c r="A232" s="12"/>
      <c r="B232" s="12"/>
      <c r="C232" s="12"/>
      <c r="D232" s="12"/>
      <c r="E232" s="12"/>
    </row>
    <row r="233" spans="1:5" x14ac:dyDescent="0.35">
      <c r="A233" s="12"/>
      <c r="B233" s="12"/>
      <c r="C233" s="12"/>
      <c r="D233" s="12"/>
      <c r="E233" s="12"/>
    </row>
    <row r="234" spans="1:5" x14ac:dyDescent="0.35">
      <c r="A234" s="12"/>
      <c r="B234" s="12"/>
      <c r="C234" s="12"/>
      <c r="D234" s="12"/>
      <c r="E234" s="12"/>
    </row>
    <row r="235" spans="1:5" x14ac:dyDescent="0.35">
      <c r="A235" s="12"/>
      <c r="B235" s="12"/>
      <c r="C235" s="12"/>
      <c r="D235" s="12"/>
      <c r="E235" s="12"/>
    </row>
    <row r="236" spans="1:5" x14ac:dyDescent="0.35">
      <c r="A236" s="12"/>
      <c r="B236" s="12"/>
      <c r="C236" s="12"/>
      <c r="D236" s="12"/>
      <c r="E236" s="12"/>
    </row>
    <row r="237" spans="1:5" x14ac:dyDescent="0.35">
      <c r="A237" s="12"/>
      <c r="B237" s="12"/>
      <c r="C237" s="12"/>
      <c r="D237" s="12"/>
      <c r="E237" s="12"/>
    </row>
    <row r="238" spans="1:5" x14ac:dyDescent="0.35">
      <c r="A238" s="12"/>
      <c r="B238" s="12"/>
      <c r="C238" s="12"/>
      <c r="D238" s="12"/>
      <c r="E238" s="12"/>
    </row>
    <row r="239" spans="1:5" x14ac:dyDescent="0.35">
      <c r="A239" s="12"/>
      <c r="B239" s="12"/>
      <c r="C239" s="12"/>
      <c r="D239" s="12"/>
      <c r="E239" s="12"/>
    </row>
    <row r="240" spans="1:5" x14ac:dyDescent="0.35">
      <c r="A240" s="12"/>
      <c r="B240" s="12"/>
      <c r="C240" s="12"/>
      <c r="D240" s="12"/>
      <c r="E240" s="12"/>
    </row>
    <row r="241" spans="1:5" x14ac:dyDescent="0.35">
      <c r="A241" s="12"/>
      <c r="B241" s="12"/>
      <c r="C241" s="12"/>
      <c r="D241" s="12"/>
      <c r="E241" s="12"/>
    </row>
    <row r="242" spans="1:5" x14ac:dyDescent="0.35">
      <c r="A242" s="12"/>
      <c r="B242" s="12"/>
      <c r="C242" s="12"/>
      <c r="D242" s="12"/>
      <c r="E242" s="12"/>
    </row>
    <row r="243" spans="1:5" x14ac:dyDescent="0.35">
      <c r="A243" s="12"/>
      <c r="B243" s="12"/>
      <c r="C243" s="12"/>
      <c r="D243" s="12"/>
      <c r="E243" s="12"/>
    </row>
    <row r="244" spans="1:5" x14ac:dyDescent="0.35">
      <c r="A244" s="12"/>
      <c r="B244" s="12"/>
      <c r="C244" s="12"/>
      <c r="D244" s="12"/>
      <c r="E244" s="12"/>
    </row>
    <row r="245" spans="1:5" x14ac:dyDescent="0.35">
      <c r="A245" s="12"/>
      <c r="B245" s="12"/>
      <c r="C245" s="12"/>
      <c r="D245" s="12"/>
      <c r="E245" s="12"/>
    </row>
    <row r="246" spans="1:5" x14ac:dyDescent="0.35">
      <c r="A246" s="12"/>
      <c r="B246" s="12"/>
      <c r="C246" s="12"/>
      <c r="D246" s="12"/>
      <c r="E246" s="12"/>
    </row>
    <row r="247" spans="1:5" x14ac:dyDescent="0.35">
      <c r="A247" s="12"/>
      <c r="B247" s="12"/>
      <c r="C247" s="12"/>
      <c r="D247" s="12"/>
      <c r="E247" s="12"/>
    </row>
    <row r="248" spans="1:5" x14ac:dyDescent="0.35">
      <c r="A248" s="12"/>
      <c r="B248" s="12"/>
      <c r="C248" s="12"/>
      <c r="D248" s="12"/>
      <c r="E248" s="12"/>
    </row>
    <row r="249" spans="1:5" x14ac:dyDescent="0.35">
      <c r="A249" s="12"/>
      <c r="B249" s="12"/>
      <c r="C249" s="12"/>
      <c r="D249" s="12"/>
      <c r="E249" s="12"/>
    </row>
    <row r="250" spans="1:5" x14ac:dyDescent="0.35">
      <c r="A250" s="12"/>
      <c r="B250" s="12"/>
      <c r="C250" s="12"/>
      <c r="D250" s="12"/>
      <c r="E250" s="12"/>
    </row>
    <row r="251" spans="1:5" x14ac:dyDescent="0.35">
      <c r="A251" s="12"/>
      <c r="B251" s="12"/>
      <c r="C251" s="12"/>
      <c r="D251" s="12"/>
      <c r="E251" s="12"/>
    </row>
    <row r="252" spans="1:5" x14ac:dyDescent="0.35">
      <c r="A252" s="12"/>
      <c r="B252" s="12"/>
      <c r="C252" s="12"/>
      <c r="D252" s="12"/>
      <c r="E252" s="12"/>
    </row>
    <row r="253" spans="1:5" x14ac:dyDescent="0.35">
      <c r="A253" s="12"/>
      <c r="B253" s="12"/>
      <c r="C253" s="12"/>
      <c r="D253" s="12"/>
      <c r="E253" s="12"/>
    </row>
    <row r="254" spans="1:5" x14ac:dyDescent="0.35">
      <c r="A254" s="12"/>
      <c r="B254" s="12"/>
      <c r="C254" s="12"/>
      <c r="D254" s="12"/>
      <c r="E254" s="12"/>
    </row>
    <row r="255" spans="1:5" x14ac:dyDescent="0.35">
      <c r="A255" s="12"/>
      <c r="B255" s="12"/>
      <c r="C255" s="12"/>
      <c r="D255" s="12"/>
      <c r="E255" s="12"/>
    </row>
    <row r="256" spans="1:5" x14ac:dyDescent="0.35">
      <c r="A256" s="12"/>
      <c r="B256" s="12"/>
      <c r="C256" s="12"/>
      <c r="D256" s="12"/>
      <c r="E256" s="12"/>
    </row>
    <row r="257" spans="1:5" x14ac:dyDescent="0.35">
      <c r="A257" s="12"/>
      <c r="B257" s="12"/>
      <c r="C257" s="12"/>
      <c r="D257" s="12"/>
      <c r="E257" s="12"/>
    </row>
    <row r="258" spans="1:5" x14ac:dyDescent="0.35">
      <c r="A258" s="12"/>
      <c r="B258" s="12"/>
      <c r="C258" s="12"/>
      <c r="D258" s="12"/>
      <c r="E258" s="12"/>
    </row>
    <row r="259" spans="1:5" x14ac:dyDescent="0.35">
      <c r="A259" s="12"/>
      <c r="B259" s="12"/>
      <c r="C259" s="12"/>
      <c r="D259" s="12"/>
      <c r="E259" s="12"/>
    </row>
    <row r="260" spans="1:5" x14ac:dyDescent="0.35">
      <c r="A260" s="12"/>
      <c r="B260" s="12"/>
      <c r="C260" s="12"/>
      <c r="D260" s="12"/>
      <c r="E260" s="12"/>
    </row>
    <row r="261" spans="1:5" x14ac:dyDescent="0.35">
      <c r="A261" s="12"/>
      <c r="B261" s="12"/>
      <c r="C261" s="12"/>
      <c r="D261" s="12"/>
      <c r="E261" s="12"/>
    </row>
    <row r="262" spans="1:5" x14ac:dyDescent="0.35">
      <c r="A262" s="12"/>
      <c r="B262" s="12"/>
      <c r="C262" s="12"/>
      <c r="D262" s="12"/>
      <c r="E262" s="12"/>
    </row>
    <row r="263" spans="1:5" x14ac:dyDescent="0.35">
      <c r="A263" s="12"/>
      <c r="B263" s="12"/>
      <c r="C263" s="12"/>
      <c r="D263" s="12"/>
      <c r="E263" s="12"/>
    </row>
    <row r="264" spans="1:5" x14ac:dyDescent="0.35">
      <c r="A264" s="12"/>
      <c r="B264" s="12"/>
      <c r="C264" s="12"/>
      <c r="D264" s="12"/>
      <c r="E264" s="12"/>
    </row>
    <row r="265" spans="1:5" x14ac:dyDescent="0.35">
      <c r="A265" s="12"/>
      <c r="B265" s="12"/>
      <c r="C265" s="12"/>
      <c r="D265" s="12"/>
      <c r="E265" s="12"/>
    </row>
    <row r="266" spans="1:5" x14ac:dyDescent="0.35">
      <c r="A266" s="12"/>
      <c r="B266" s="12"/>
      <c r="C266" s="12"/>
      <c r="D266" s="12"/>
      <c r="E266" s="12"/>
    </row>
    <row r="267" spans="1:5" x14ac:dyDescent="0.35">
      <c r="A267" s="12"/>
      <c r="B267" s="12"/>
      <c r="C267" s="12"/>
      <c r="D267" s="12"/>
      <c r="E267" s="12"/>
    </row>
    <row r="268" spans="1:5" x14ac:dyDescent="0.35">
      <c r="A268" s="12"/>
      <c r="B268" s="12"/>
      <c r="C268" s="12"/>
      <c r="D268" s="12"/>
      <c r="E268" s="12"/>
    </row>
    <row r="269" spans="1:5" x14ac:dyDescent="0.35">
      <c r="A269" s="12"/>
      <c r="B269" s="12"/>
      <c r="C269" s="12"/>
      <c r="D269" s="12"/>
      <c r="E269" s="12"/>
    </row>
    <row r="270" spans="1:5" x14ac:dyDescent="0.35">
      <c r="A270" s="12"/>
      <c r="B270" s="12"/>
      <c r="C270" s="12"/>
      <c r="D270" s="12"/>
      <c r="E270" s="12"/>
    </row>
    <row r="271" spans="1:5" x14ac:dyDescent="0.35">
      <c r="A271" s="12"/>
      <c r="B271" s="12"/>
      <c r="C271" s="12"/>
      <c r="D271" s="12"/>
      <c r="E271" s="12"/>
    </row>
    <row r="272" spans="1:5" x14ac:dyDescent="0.35">
      <c r="A272" s="12"/>
      <c r="B272" s="12"/>
      <c r="C272" s="12"/>
      <c r="D272" s="12"/>
      <c r="E272" s="12"/>
    </row>
    <row r="273" spans="1:5" x14ac:dyDescent="0.35">
      <c r="A273" s="12"/>
      <c r="B273" s="12"/>
      <c r="C273" s="12"/>
      <c r="D273" s="12"/>
      <c r="E273" s="12"/>
    </row>
    <row r="274" spans="1:5" x14ac:dyDescent="0.35">
      <c r="A274" s="12"/>
      <c r="B274" s="12"/>
      <c r="C274" s="12"/>
      <c r="D274" s="12"/>
      <c r="E274" s="12"/>
    </row>
    <row r="275" spans="1:5" x14ac:dyDescent="0.35">
      <c r="A275" s="12"/>
      <c r="B275" s="12"/>
      <c r="C275" s="12"/>
      <c r="D275" s="12"/>
      <c r="E275" s="12"/>
    </row>
    <row r="276" spans="1:5" x14ac:dyDescent="0.35">
      <c r="A276" s="12"/>
      <c r="B276" s="12"/>
      <c r="C276" s="12"/>
      <c r="D276" s="12"/>
      <c r="E276" s="12"/>
    </row>
    <row r="277" spans="1:5" x14ac:dyDescent="0.35">
      <c r="A277" s="12"/>
      <c r="B277" s="12"/>
      <c r="C277" s="12"/>
      <c r="D277" s="12"/>
      <c r="E277" s="12"/>
    </row>
    <row r="278" spans="1:5" x14ac:dyDescent="0.35">
      <c r="A278" s="12"/>
      <c r="B278" s="12"/>
      <c r="C278" s="12"/>
      <c r="D278" s="12"/>
      <c r="E278" s="12"/>
    </row>
    <row r="279" spans="1:5" x14ac:dyDescent="0.35">
      <c r="A279" s="12"/>
      <c r="B279" s="12"/>
      <c r="C279" s="12"/>
      <c r="D279" s="12"/>
      <c r="E279" s="12"/>
    </row>
    <row r="280" spans="1:5" x14ac:dyDescent="0.35">
      <c r="A280" s="12"/>
      <c r="B280" s="12"/>
      <c r="C280" s="12"/>
      <c r="D280" s="12"/>
      <c r="E280" s="12"/>
    </row>
    <row r="281" spans="1:5" x14ac:dyDescent="0.35">
      <c r="A281" s="12"/>
      <c r="B281" s="12"/>
      <c r="C281" s="12"/>
      <c r="D281" s="12"/>
      <c r="E281" s="12"/>
    </row>
    <row r="282" spans="1:5" x14ac:dyDescent="0.35">
      <c r="A282" s="12"/>
      <c r="B282" s="12"/>
      <c r="C282" s="12"/>
      <c r="D282" s="12"/>
      <c r="E282" s="12"/>
    </row>
    <row r="283" spans="1:5" x14ac:dyDescent="0.35">
      <c r="A283" s="12"/>
      <c r="B283" s="12"/>
      <c r="C283" s="12"/>
      <c r="D283" s="12"/>
      <c r="E283" s="12"/>
    </row>
    <row r="284" spans="1:5" x14ac:dyDescent="0.35">
      <c r="A284" s="12"/>
      <c r="B284" s="12"/>
      <c r="C284" s="12"/>
      <c r="D284" s="12"/>
      <c r="E284" s="12"/>
    </row>
    <row r="285" spans="1:5" x14ac:dyDescent="0.35">
      <c r="A285" s="12"/>
      <c r="B285" s="12"/>
      <c r="C285" s="12"/>
      <c r="D285" s="12"/>
      <c r="E285" s="12"/>
    </row>
    <row r="286" spans="1:5" x14ac:dyDescent="0.35">
      <c r="A286" s="12"/>
      <c r="B286" s="12"/>
      <c r="C286" s="12"/>
      <c r="D286" s="12"/>
      <c r="E286" s="12"/>
    </row>
    <row r="287" spans="1:5" x14ac:dyDescent="0.35">
      <c r="A287" s="12"/>
      <c r="B287" s="12"/>
      <c r="C287" s="12"/>
      <c r="D287" s="12"/>
      <c r="E287" s="12"/>
    </row>
    <row r="288" spans="1:5" x14ac:dyDescent="0.35">
      <c r="A288" s="12"/>
      <c r="B288" s="12"/>
      <c r="C288" s="12"/>
      <c r="D288" s="12"/>
      <c r="E288" s="12"/>
    </row>
    <row r="289" spans="1:5" x14ac:dyDescent="0.35">
      <c r="A289" s="12"/>
      <c r="B289" s="12"/>
      <c r="C289" s="12"/>
      <c r="D289" s="12"/>
      <c r="E289" s="12"/>
    </row>
    <row r="290" spans="1:5" x14ac:dyDescent="0.35">
      <c r="A290" s="12"/>
      <c r="B290" s="12"/>
      <c r="C290" s="12"/>
      <c r="D290" s="12"/>
      <c r="E290" s="12"/>
    </row>
    <row r="291" spans="1:5" x14ac:dyDescent="0.35">
      <c r="A291" s="12"/>
      <c r="B291" s="12"/>
      <c r="C291" s="12"/>
      <c r="D291" s="12"/>
      <c r="E291" s="12"/>
    </row>
    <row r="292" spans="1:5" x14ac:dyDescent="0.35">
      <c r="A292" s="12"/>
      <c r="B292" s="12"/>
      <c r="C292" s="12"/>
      <c r="D292" s="12"/>
      <c r="E292" s="12"/>
    </row>
    <row r="293" spans="1:5" x14ac:dyDescent="0.35">
      <c r="A293" s="12"/>
      <c r="B293" s="12"/>
      <c r="C293" s="12"/>
      <c r="D293" s="12"/>
      <c r="E293" s="12"/>
    </row>
    <row r="294" spans="1:5" x14ac:dyDescent="0.35">
      <c r="A294" s="12"/>
      <c r="B294" s="12"/>
      <c r="C294" s="12"/>
      <c r="D294" s="12"/>
      <c r="E294" s="12"/>
    </row>
    <row r="295" spans="1:5" x14ac:dyDescent="0.35">
      <c r="A295" s="12"/>
      <c r="B295" s="12"/>
      <c r="C295" s="12"/>
      <c r="D295" s="12"/>
      <c r="E295" s="12"/>
    </row>
    <row r="296" spans="1:5" x14ac:dyDescent="0.35">
      <c r="A296" s="12"/>
      <c r="B296" s="12"/>
      <c r="C296" s="12"/>
      <c r="D296" s="12"/>
      <c r="E296" s="12"/>
    </row>
    <row r="297" spans="1:5" x14ac:dyDescent="0.35">
      <c r="A297" s="12"/>
      <c r="B297" s="12"/>
      <c r="C297" s="12"/>
      <c r="D297" s="12"/>
      <c r="E297" s="12"/>
    </row>
    <row r="298" spans="1:5" x14ac:dyDescent="0.35">
      <c r="A298" s="12"/>
      <c r="B298" s="12"/>
      <c r="C298" s="12"/>
      <c r="D298" s="12"/>
      <c r="E298" s="12"/>
    </row>
    <row r="299" spans="1:5" x14ac:dyDescent="0.35">
      <c r="A299" s="12"/>
      <c r="B299" s="12"/>
      <c r="C299" s="12"/>
      <c r="D299" s="12"/>
      <c r="E299" s="12"/>
    </row>
    <row r="300" spans="1:5" x14ac:dyDescent="0.35">
      <c r="A300" s="12"/>
      <c r="B300" s="12"/>
      <c r="C300" s="12"/>
      <c r="D300" s="12"/>
      <c r="E300" s="12"/>
    </row>
    <row r="301" spans="1:5" x14ac:dyDescent="0.35">
      <c r="A301" s="12"/>
      <c r="B301" s="12"/>
      <c r="C301" s="12"/>
      <c r="D301" s="12"/>
      <c r="E301" s="12"/>
    </row>
    <row r="302" spans="1:5" x14ac:dyDescent="0.35">
      <c r="A302" s="12"/>
      <c r="B302" s="12"/>
      <c r="C302" s="12"/>
      <c r="D302" s="12"/>
      <c r="E302" s="12"/>
    </row>
    <row r="303" spans="1:5" x14ac:dyDescent="0.35">
      <c r="A303" s="12"/>
      <c r="B303" s="12"/>
      <c r="C303" s="12"/>
      <c r="D303" s="12"/>
      <c r="E303" s="12"/>
    </row>
    <row r="304" spans="1:5" x14ac:dyDescent="0.35">
      <c r="A304" s="12"/>
      <c r="B304" s="12"/>
      <c r="C304" s="12"/>
      <c r="D304" s="12"/>
      <c r="E304" s="12"/>
    </row>
  </sheetData>
  <hyperlinks>
    <hyperlink ref="N9" r:id="rId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8"/>
  <sheetViews>
    <sheetView topLeftCell="C1" workbookViewId="0">
      <selection activeCell="L3" sqref="L3:T20"/>
    </sheetView>
  </sheetViews>
  <sheetFormatPr defaultRowHeight="14.5" x14ac:dyDescent="0.35"/>
  <cols>
    <col min="1" max="1" width="61.453125" customWidth="1"/>
    <col min="10" max="10" width="18" customWidth="1"/>
    <col min="12" max="12" width="9.36328125" customWidth="1"/>
  </cols>
  <sheetData>
    <row r="1" spans="1:24" ht="30.65" customHeight="1" x14ac:dyDescent="0.35">
      <c r="A1" t="s">
        <v>50</v>
      </c>
      <c r="C1">
        <f>22000/5</f>
        <v>4400</v>
      </c>
      <c r="D1" t="s">
        <v>81</v>
      </c>
    </row>
    <row r="2" spans="1:24" ht="57.65" customHeight="1" x14ac:dyDescent="0.35">
      <c r="A2" s="17" t="s">
        <v>51</v>
      </c>
      <c r="C2">
        <f>22000-C1</f>
        <v>17600</v>
      </c>
      <c r="D2" t="s">
        <v>82</v>
      </c>
      <c r="I2" t="s">
        <v>137</v>
      </c>
    </row>
    <row r="3" spans="1:24" ht="21" customHeight="1" x14ac:dyDescent="0.35"/>
    <row r="4" spans="1:24" x14ac:dyDescent="0.35">
      <c r="B4" t="s">
        <v>52</v>
      </c>
      <c r="C4" t="s">
        <v>53</v>
      </c>
      <c r="E4" t="s">
        <v>141</v>
      </c>
      <c r="I4" s="1" t="s">
        <v>177</v>
      </c>
    </row>
    <row r="5" spans="1:24" x14ac:dyDescent="0.35">
      <c r="A5" t="s">
        <v>54</v>
      </c>
      <c r="B5" s="19">
        <f>B16*1000/C2</f>
        <v>47.215909090909093</v>
      </c>
      <c r="C5" s="19">
        <f>B20*1000/C2</f>
        <v>90.909090909090907</v>
      </c>
      <c r="E5" t="s">
        <v>52</v>
      </c>
      <c r="F5" t="s">
        <v>53</v>
      </c>
      <c r="I5" s="1" t="s">
        <v>140</v>
      </c>
    </row>
    <row r="6" spans="1:24" x14ac:dyDescent="0.35">
      <c r="A6" t="s">
        <v>55</v>
      </c>
      <c r="B6" s="76">
        <f>Lähtöoletukset!B23</f>
        <v>0.37</v>
      </c>
      <c r="C6" s="76">
        <f>Lähtöoletukset!B26</f>
        <v>0.2</v>
      </c>
      <c r="E6" s="73">
        <f>B16/810</f>
        <v>1.0259259259259259</v>
      </c>
      <c r="F6" s="73">
        <f>B20/810</f>
        <v>1.9753086419753085</v>
      </c>
    </row>
    <row r="7" spans="1:24" x14ac:dyDescent="0.35">
      <c r="I7" s="25" t="s">
        <v>67</v>
      </c>
      <c r="J7" s="25"/>
      <c r="K7" s="2"/>
      <c r="L7" s="2"/>
      <c r="M7" s="2"/>
      <c r="N7" s="2"/>
      <c r="O7" s="2"/>
      <c r="P7" s="2"/>
      <c r="Q7" s="2"/>
      <c r="R7" s="2"/>
      <c r="S7" s="2"/>
      <c r="T7" s="2"/>
      <c r="U7" s="2"/>
      <c r="V7" s="2"/>
      <c r="W7" s="2"/>
      <c r="X7" s="2"/>
    </row>
    <row r="8" spans="1:24" x14ac:dyDescent="0.35">
      <c r="I8" s="2"/>
      <c r="J8" s="2"/>
      <c r="K8" s="2"/>
      <c r="L8" s="2"/>
      <c r="M8" s="2"/>
      <c r="N8" s="2"/>
      <c r="O8" s="2"/>
      <c r="P8" s="2"/>
      <c r="Q8" s="2"/>
      <c r="R8" s="2"/>
      <c r="S8" s="2"/>
      <c r="T8" s="2"/>
      <c r="U8" s="2"/>
      <c r="V8" s="2"/>
      <c r="W8" s="2"/>
      <c r="X8" s="2"/>
    </row>
    <row r="9" spans="1:24" x14ac:dyDescent="0.35">
      <c r="E9" s="73"/>
      <c r="F9" s="73"/>
      <c r="I9" s="2" t="s">
        <v>52</v>
      </c>
      <c r="J9" s="32" t="s">
        <v>88</v>
      </c>
      <c r="K9" s="26"/>
      <c r="L9" s="26"/>
      <c r="M9" s="26" t="s">
        <v>85</v>
      </c>
      <c r="N9" s="27" t="s">
        <v>65</v>
      </c>
      <c r="O9" s="26"/>
      <c r="P9" s="2"/>
      <c r="Q9" s="32" t="s">
        <v>86</v>
      </c>
      <c r="R9" s="26"/>
      <c r="S9" s="26"/>
      <c r="T9" s="26" t="s">
        <v>85</v>
      </c>
      <c r="U9" s="27" t="s">
        <v>65</v>
      </c>
      <c r="V9" s="26"/>
      <c r="W9" s="2"/>
      <c r="X9" s="2"/>
    </row>
    <row r="10" spans="1:24" x14ac:dyDescent="0.35">
      <c r="A10" t="s">
        <v>58</v>
      </c>
      <c r="B10" s="22">
        <f>($B$13-$B$14)*0.37</f>
        <v>222.37</v>
      </c>
      <c r="I10" s="2"/>
      <c r="J10" s="2" t="s">
        <v>83</v>
      </c>
      <c r="K10" s="68">
        <f>Lähtöoletukset!B11</f>
        <v>70</v>
      </c>
      <c r="L10" s="2" t="s">
        <v>80</v>
      </c>
      <c r="M10" s="8">
        <f>B6/(1+(100/(100-Q20)))*2</f>
        <v>0.24666666666666667</v>
      </c>
      <c r="N10" s="24">
        <f>M10*K10/100*$Q$24</f>
        <v>3410.1666666666665</v>
      </c>
      <c r="O10" s="2" t="s">
        <v>66</v>
      </c>
      <c r="P10" s="2"/>
      <c r="Q10" s="2" t="s">
        <v>83</v>
      </c>
      <c r="R10" s="2">
        <f>Laskuri!H7</f>
        <v>70</v>
      </c>
      <c r="S10" s="2" t="s">
        <v>80</v>
      </c>
      <c r="T10" s="8">
        <f>M10</f>
        <v>0.24666666666666667</v>
      </c>
      <c r="U10" s="24">
        <f>T10*R10/100*$Q$24</f>
        <v>3410.1666666666665</v>
      </c>
      <c r="V10" s="2" t="s">
        <v>66</v>
      </c>
      <c r="W10" s="2"/>
      <c r="X10" s="2"/>
    </row>
    <row r="11" spans="1:24" x14ac:dyDescent="0.35">
      <c r="A11" t="s">
        <v>59</v>
      </c>
      <c r="B11" s="22">
        <f>($B$13-$B$14)*0.33</f>
        <v>198.33</v>
      </c>
      <c r="D11" s="19"/>
      <c r="E11" s="73"/>
      <c r="F11" s="73"/>
      <c r="I11" s="2"/>
      <c r="J11" s="2" t="s">
        <v>87</v>
      </c>
      <c r="K11" s="2">
        <f>100-K10</f>
        <v>30</v>
      </c>
      <c r="L11" s="2" t="s">
        <v>80</v>
      </c>
      <c r="M11" s="8">
        <f>M10*100/(100-$Q$20)</f>
        <v>0.49333333333333335</v>
      </c>
      <c r="N11" s="24">
        <f>M11*K11/100*$Q$24</f>
        <v>2923.0000000000005</v>
      </c>
      <c r="O11" s="2" t="s">
        <v>66</v>
      </c>
      <c r="P11" s="2"/>
      <c r="Q11" s="2" t="s">
        <v>87</v>
      </c>
      <c r="R11" s="2">
        <f>100-R10</f>
        <v>30</v>
      </c>
      <c r="S11" s="2" t="s">
        <v>80</v>
      </c>
      <c r="T11" s="8">
        <f>M11</f>
        <v>0.49333333333333335</v>
      </c>
      <c r="U11" s="24">
        <f>T11*R11/100*$Q$24</f>
        <v>2923.0000000000005</v>
      </c>
      <c r="V11" s="2" t="s">
        <v>66</v>
      </c>
      <c r="W11" s="2"/>
      <c r="X11" s="2"/>
    </row>
    <row r="12" spans="1:24" x14ac:dyDescent="0.35">
      <c r="A12" s="20" t="s">
        <v>60</v>
      </c>
      <c r="B12" s="23">
        <f>($B$13-$B$14)*0.3</f>
        <v>180.29999999999998</v>
      </c>
      <c r="C12" s="20"/>
      <c r="I12" s="2"/>
      <c r="J12" s="2"/>
      <c r="K12" s="2"/>
      <c r="L12" s="2"/>
      <c r="M12" s="8"/>
      <c r="N12" s="24">
        <f>N11+N10</f>
        <v>6333.166666666667</v>
      </c>
      <c r="O12" s="2" t="s">
        <v>66</v>
      </c>
      <c r="P12" s="2"/>
      <c r="Q12" s="2"/>
      <c r="R12" s="2"/>
      <c r="S12" s="2"/>
      <c r="T12" s="2"/>
      <c r="U12" s="24">
        <f>U11+U10</f>
        <v>6333.166666666667</v>
      </c>
      <c r="V12" s="2" t="s">
        <v>66</v>
      </c>
      <c r="W12" s="2"/>
      <c r="X12" s="2"/>
    </row>
    <row r="13" spans="1:24" x14ac:dyDescent="0.35">
      <c r="A13" s="13"/>
      <c r="B13">
        <v>641</v>
      </c>
      <c r="I13" s="2"/>
      <c r="J13" s="74"/>
      <c r="K13" s="75"/>
      <c r="L13" s="75"/>
      <c r="M13" s="75"/>
      <c r="N13" s="74"/>
      <c r="O13" s="74"/>
      <c r="P13" s="2"/>
      <c r="Q13" s="2"/>
      <c r="R13" s="2"/>
      <c r="S13" s="2"/>
      <c r="T13" s="2"/>
      <c r="U13" s="2"/>
      <c r="V13" s="2"/>
      <c r="W13" s="2"/>
      <c r="X13" s="2"/>
    </row>
    <row r="14" spans="1:24" x14ac:dyDescent="0.35">
      <c r="A14" t="s">
        <v>56</v>
      </c>
      <c r="B14">
        <v>40</v>
      </c>
      <c r="I14" s="2" t="s">
        <v>53</v>
      </c>
      <c r="J14" s="32" t="s">
        <v>88</v>
      </c>
      <c r="K14" s="26"/>
      <c r="L14" s="26"/>
      <c r="M14" s="26" t="s">
        <v>85</v>
      </c>
      <c r="N14" s="27" t="s">
        <v>65</v>
      </c>
      <c r="O14" s="26"/>
      <c r="P14" s="2"/>
      <c r="Q14" s="32" t="s">
        <v>86</v>
      </c>
      <c r="R14" s="26"/>
      <c r="S14" s="26"/>
      <c r="T14" s="26" t="s">
        <v>85</v>
      </c>
      <c r="U14" s="27" t="s">
        <v>65</v>
      </c>
      <c r="V14" s="26"/>
      <c r="W14" s="2"/>
      <c r="X14" s="2"/>
    </row>
    <row r="15" spans="1:24" x14ac:dyDescent="0.35">
      <c r="A15" s="20" t="s">
        <v>63</v>
      </c>
      <c r="B15" s="20">
        <v>150</v>
      </c>
      <c r="C15" s="20"/>
      <c r="I15" s="2"/>
      <c r="J15" s="2" t="s">
        <v>135</v>
      </c>
      <c r="K15" s="68">
        <f>Lähtöoletukset!B17</f>
        <v>50</v>
      </c>
      <c r="L15" s="2" t="s">
        <v>80</v>
      </c>
      <c r="M15" s="8">
        <f>C6/(1+(100/(100-T20)))*2</f>
        <v>0.16470588235294117</v>
      </c>
      <c r="N15" s="24">
        <f>M15*K15/100*$Q$24</f>
        <v>1626.4705882352939</v>
      </c>
      <c r="O15" s="2" t="s">
        <v>66</v>
      </c>
      <c r="P15" s="2"/>
      <c r="Q15" s="2" t="s">
        <v>135</v>
      </c>
      <c r="R15" s="2">
        <f>Laskuri!H14</f>
        <v>50</v>
      </c>
      <c r="S15" s="2" t="s">
        <v>80</v>
      </c>
      <c r="T15" s="8">
        <f>M15</f>
        <v>0.16470588235294117</v>
      </c>
      <c r="U15" s="24">
        <f>T15*R15/100*$Q$24</f>
        <v>1626.4705882352939</v>
      </c>
      <c r="V15" s="2" t="s">
        <v>66</v>
      </c>
      <c r="W15" s="2"/>
      <c r="X15" s="2"/>
    </row>
    <row r="16" spans="1:24" x14ac:dyDescent="0.35">
      <c r="B16">
        <f>SUM(B13:B15)</f>
        <v>831</v>
      </c>
      <c r="C16" t="s">
        <v>57</v>
      </c>
      <c r="E16" s="18"/>
      <c r="F16" s="18"/>
      <c r="I16" s="2"/>
      <c r="J16" s="2" t="s">
        <v>136</v>
      </c>
      <c r="K16" s="2">
        <f>100-K15</f>
        <v>50</v>
      </c>
      <c r="L16" s="2" t="s">
        <v>80</v>
      </c>
      <c r="M16" s="8">
        <f>M15*100/(100-$T$20)</f>
        <v>0.23529411764705879</v>
      </c>
      <c r="N16" s="24">
        <f>M16*K16/100*$Q$24</f>
        <v>2323.5294117647054</v>
      </c>
      <c r="O16" s="2" t="s">
        <v>66</v>
      </c>
      <c r="P16" s="2"/>
      <c r="Q16" s="2" t="s">
        <v>136</v>
      </c>
      <c r="R16" s="2">
        <f>100-R15</f>
        <v>50</v>
      </c>
      <c r="S16" s="2" t="s">
        <v>80</v>
      </c>
      <c r="T16" s="8">
        <f>M16</f>
        <v>0.23529411764705879</v>
      </c>
      <c r="U16" s="24">
        <f>T16*R16/100*$Q$24</f>
        <v>2323.5294117647054</v>
      </c>
      <c r="V16" s="2" t="s">
        <v>66</v>
      </c>
      <c r="W16" s="2"/>
      <c r="X16" s="2"/>
    </row>
    <row r="17" spans="1:24" x14ac:dyDescent="0.35">
      <c r="I17" s="2"/>
      <c r="J17" s="2"/>
      <c r="K17" s="2"/>
      <c r="L17" s="2"/>
      <c r="M17" s="5"/>
      <c r="N17" s="24">
        <f>N16+N15</f>
        <v>3949.9999999999991</v>
      </c>
      <c r="O17" s="2" t="s">
        <v>66</v>
      </c>
      <c r="P17" s="2"/>
      <c r="Q17" s="2"/>
      <c r="R17" s="2"/>
      <c r="S17" s="2"/>
      <c r="T17" s="2"/>
      <c r="U17" s="24">
        <f>U16+U15</f>
        <v>3949.9999999999991</v>
      </c>
      <c r="V17" s="2" t="s">
        <v>66</v>
      </c>
      <c r="W17" s="2"/>
      <c r="X17" s="2"/>
    </row>
    <row r="18" spans="1:24" x14ac:dyDescent="0.35">
      <c r="A18" t="s">
        <v>64</v>
      </c>
      <c r="B18" s="19">
        <f>(B14+B15)/B16*100</f>
        <v>22.86401925391095</v>
      </c>
      <c r="C18" t="s">
        <v>62</v>
      </c>
      <c r="I18" s="2"/>
      <c r="J18" s="2"/>
      <c r="K18" s="2"/>
      <c r="L18" s="2"/>
      <c r="M18" s="2"/>
      <c r="N18" s="2"/>
      <c r="O18" s="2"/>
      <c r="P18" s="2"/>
      <c r="Q18" s="2"/>
      <c r="R18" s="2"/>
      <c r="S18" s="2"/>
      <c r="T18" s="2"/>
      <c r="U18" s="2"/>
      <c r="V18" s="2"/>
      <c r="W18" s="2"/>
      <c r="X18" s="2"/>
    </row>
    <row r="19" spans="1:24" x14ac:dyDescent="0.35">
      <c r="B19" s="21"/>
      <c r="I19" s="2"/>
      <c r="J19" s="26" t="s">
        <v>73</v>
      </c>
      <c r="K19" s="27" t="s">
        <v>74</v>
      </c>
      <c r="L19" s="27" t="s">
        <v>75</v>
      </c>
      <c r="M19" s="27" t="s">
        <v>76</v>
      </c>
      <c r="N19" s="27" t="s">
        <v>77</v>
      </c>
      <c r="O19" s="26"/>
      <c r="P19" s="2"/>
      <c r="Q19" s="2" t="s">
        <v>84</v>
      </c>
      <c r="R19" s="2"/>
      <c r="S19" s="2"/>
      <c r="T19" s="2" t="s">
        <v>135</v>
      </c>
      <c r="U19" s="2"/>
      <c r="V19" s="2"/>
      <c r="W19" s="2"/>
      <c r="X19" s="2"/>
    </row>
    <row r="20" spans="1:24" x14ac:dyDescent="0.35">
      <c r="A20" t="s">
        <v>61</v>
      </c>
      <c r="B20">
        <v>1600</v>
      </c>
      <c r="C20" t="s">
        <v>57</v>
      </c>
      <c r="I20" s="2"/>
      <c r="J20" s="2" t="s">
        <v>88</v>
      </c>
      <c r="K20" s="5">
        <f>(N12*$K$25+N17*$K$26)/1000000</f>
        <v>1.6929313301306659</v>
      </c>
      <c r="L20" s="24">
        <f>K20*U23</f>
        <v>8.4646566506533301</v>
      </c>
      <c r="M20" s="24">
        <f>K20*U24</f>
        <v>35.551557932743982</v>
      </c>
      <c r="N20" s="24">
        <f>K20*U25</f>
        <v>321.65695272482651</v>
      </c>
      <c r="O20" s="2" t="s">
        <v>79</v>
      </c>
      <c r="P20" s="2"/>
      <c r="Q20" s="28">
        <f>Lähtöoletukset!B14</f>
        <v>50</v>
      </c>
      <c r="R20" s="2"/>
      <c r="S20" s="2"/>
      <c r="T20" s="68">
        <f>Lähtöoletukset!B20</f>
        <v>30</v>
      </c>
      <c r="U20" s="2"/>
      <c r="V20" s="2"/>
      <c r="W20" s="2"/>
      <c r="X20" s="2"/>
    </row>
    <row r="21" spans="1:24" x14ac:dyDescent="0.35">
      <c r="I21" s="2"/>
      <c r="J21" s="2" t="s">
        <v>86</v>
      </c>
      <c r="K21" s="5">
        <f>(U12*$K$25+U17*$K$26)/1000000</f>
        <v>1.6929313301306659</v>
      </c>
      <c r="L21" s="24">
        <f>K21*U23</f>
        <v>8.4646566506533301</v>
      </c>
      <c r="M21" s="24">
        <f>K21*U24</f>
        <v>35.551557932743982</v>
      </c>
      <c r="N21" s="24">
        <f>K21*U25</f>
        <v>321.65695272482651</v>
      </c>
      <c r="O21" s="2" t="s">
        <v>79</v>
      </c>
      <c r="P21" s="2"/>
      <c r="Q21" s="15" t="s">
        <v>133</v>
      </c>
      <c r="R21" s="2"/>
      <c r="S21" s="2"/>
      <c r="T21" s="2" t="s">
        <v>134</v>
      </c>
      <c r="U21" s="2"/>
      <c r="V21" s="2"/>
      <c r="W21" s="2"/>
      <c r="X21" s="2"/>
    </row>
    <row r="22" spans="1:24" x14ac:dyDescent="0.35">
      <c r="I22" s="2"/>
      <c r="J22" s="2"/>
      <c r="K22" s="2"/>
      <c r="L22" s="2"/>
      <c r="M22" s="2"/>
      <c r="N22" s="2"/>
      <c r="O22" s="2"/>
      <c r="P22" s="2"/>
      <c r="Q22" s="2"/>
      <c r="R22" s="2"/>
      <c r="S22" s="2"/>
      <c r="T22" s="2"/>
      <c r="U22" s="2"/>
      <c r="V22" s="2"/>
      <c r="W22" s="2"/>
      <c r="X22" s="2"/>
    </row>
    <row r="23" spans="1:24" x14ac:dyDescent="0.35">
      <c r="I23" s="2"/>
      <c r="J23" s="2"/>
      <c r="K23" s="2"/>
      <c r="L23" s="2"/>
      <c r="M23" s="2"/>
      <c r="N23" s="2"/>
      <c r="O23" s="2"/>
      <c r="P23" s="2"/>
      <c r="Q23" s="2" t="s">
        <v>138</v>
      </c>
      <c r="R23" s="2"/>
      <c r="S23" s="2"/>
      <c r="T23" s="15" t="s">
        <v>75</v>
      </c>
      <c r="U23" s="30">
        <v>5</v>
      </c>
      <c r="V23" s="2" t="s">
        <v>78</v>
      </c>
      <c r="W23" s="2"/>
      <c r="X23" s="2"/>
    </row>
    <row r="24" spans="1:24" x14ac:dyDescent="0.35">
      <c r="I24" s="2"/>
      <c r="J24" s="15" t="s">
        <v>71</v>
      </c>
      <c r="K24" s="15"/>
      <c r="L24" s="2"/>
      <c r="M24" s="2"/>
      <c r="N24" s="2"/>
      <c r="O24" s="2"/>
      <c r="P24" s="2"/>
      <c r="Q24" s="80">
        <f>Laskuri!C4</f>
        <v>19750</v>
      </c>
      <c r="R24" s="2"/>
      <c r="S24" s="2"/>
      <c r="T24" s="15" t="s">
        <v>76</v>
      </c>
      <c r="U24" s="30">
        <v>21</v>
      </c>
      <c r="V24" s="2" t="s">
        <v>78</v>
      </c>
      <c r="W24" s="2"/>
      <c r="X24" s="2"/>
    </row>
    <row r="25" spans="1:24" x14ac:dyDescent="0.35">
      <c r="I25" s="2"/>
      <c r="J25" s="15" t="s">
        <v>68</v>
      </c>
      <c r="K25" s="29">
        <f>Lähtöoletukset!B5</f>
        <v>103.99444810819975</v>
      </c>
      <c r="L25" s="2" t="s">
        <v>72</v>
      </c>
      <c r="M25" s="2" t="s">
        <v>69</v>
      </c>
      <c r="N25" s="2"/>
      <c r="O25" s="2"/>
      <c r="P25" s="2"/>
      <c r="Q25" s="15"/>
      <c r="R25" s="15"/>
      <c r="S25" s="15"/>
      <c r="T25" s="15" t="s">
        <v>77</v>
      </c>
      <c r="U25" s="30">
        <v>190</v>
      </c>
      <c r="V25" s="2" t="s">
        <v>78</v>
      </c>
      <c r="W25" s="2"/>
      <c r="X25" s="2"/>
    </row>
    <row r="26" spans="1:24" x14ac:dyDescent="0.35">
      <c r="I26" s="2"/>
      <c r="J26" s="15" t="s">
        <v>53</v>
      </c>
      <c r="K26" s="29">
        <f>Lähtöoletukset!B8</f>
        <v>261.85244502618201</v>
      </c>
      <c r="L26" s="2" t="s">
        <v>72</v>
      </c>
      <c r="M26" s="2" t="s">
        <v>70</v>
      </c>
      <c r="N26" s="2"/>
      <c r="O26" s="2"/>
      <c r="P26" s="2"/>
      <c r="Q26" s="2"/>
      <c r="R26" s="2"/>
      <c r="S26" s="2"/>
      <c r="T26" s="2"/>
      <c r="U26" s="2"/>
      <c r="V26" s="2"/>
      <c r="W26" s="2"/>
      <c r="X26" s="2"/>
    </row>
    <row r="27" spans="1:24" x14ac:dyDescent="0.35">
      <c r="I27" s="2"/>
      <c r="J27" s="2"/>
      <c r="K27" s="2"/>
      <c r="L27" s="2"/>
      <c r="M27" s="2"/>
      <c r="N27" s="2"/>
      <c r="O27" s="2"/>
      <c r="P27" s="2"/>
      <c r="Q27" s="2"/>
      <c r="R27" s="2"/>
      <c r="S27" s="2"/>
      <c r="T27" s="2"/>
      <c r="U27" s="2"/>
      <c r="V27" s="2"/>
      <c r="W27" s="2"/>
      <c r="X27" s="2"/>
    </row>
    <row r="28" spans="1:24" x14ac:dyDescent="0.35">
      <c r="I28" s="2"/>
      <c r="J28" s="2"/>
      <c r="K28" s="2"/>
      <c r="L28" s="2"/>
      <c r="M28" s="2"/>
      <c r="N28" s="2"/>
      <c r="O28" s="2"/>
      <c r="P28" s="2"/>
      <c r="Q28" s="2"/>
      <c r="R28" s="2"/>
      <c r="S28" s="2"/>
      <c r="T28" s="2"/>
      <c r="U28" s="2"/>
      <c r="V28" s="2"/>
      <c r="W28" s="2"/>
      <c r="X28" s="2"/>
    </row>
    <row r="30" spans="1:24" x14ac:dyDescent="0.35">
      <c r="I30" s="25" t="s">
        <v>178</v>
      </c>
      <c r="J30" s="2"/>
      <c r="K30" s="2"/>
      <c r="L30" s="2"/>
      <c r="M30" s="2"/>
      <c r="N30" s="2"/>
      <c r="O30" s="2"/>
      <c r="P30" s="2"/>
      <c r="Q30" s="2"/>
      <c r="R30" s="2"/>
      <c r="S30" s="2"/>
      <c r="T30" s="2"/>
      <c r="U30" s="2"/>
      <c r="V30" s="2"/>
      <c r="W30" s="2"/>
      <c r="X30" s="2"/>
    </row>
    <row r="31" spans="1:24" x14ac:dyDescent="0.35">
      <c r="I31" s="2"/>
      <c r="J31" s="2"/>
      <c r="K31" s="2"/>
      <c r="L31" s="2"/>
      <c r="M31" s="2"/>
      <c r="N31" s="2"/>
      <c r="O31" s="2"/>
      <c r="P31" s="2"/>
      <c r="Q31" s="2"/>
      <c r="R31" s="2"/>
      <c r="S31" s="2"/>
      <c r="T31" s="2"/>
      <c r="U31" s="2"/>
      <c r="V31" s="2"/>
      <c r="W31" s="2"/>
      <c r="X31" s="2"/>
    </row>
    <row r="32" spans="1:24" x14ac:dyDescent="0.35">
      <c r="I32" s="2" t="s">
        <v>142</v>
      </c>
      <c r="J32" s="2"/>
      <c r="K32" s="31">
        <v>4.1900000000000004</v>
      </c>
      <c r="L32" s="2" t="s">
        <v>143</v>
      </c>
      <c r="M32" s="2"/>
      <c r="N32" s="2"/>
      <c r="O32" s="2"/>
      <c r="P32" s="2"/>
      <c r="Q32" s="2"/>
      <c r="R32" s="2"/>
      <c r="S32" s="2"/>
      <c r="T32" s="2"/>
      <c r="U32" s="2"/>
      <c r="V32" s="2"/>
      <c r="W32" s="2"/>
      <c r="X32" s="2"/>
    </row>
    <row r="33" spans="9:24" x14ac:dyDescent="0.35">
      <c r="I33" s="2" t="s">
        <v>158</v>
      </c>
      <c r="J33" s="2"/>
      <c r="K33" s="81">
        <v>10</v>
      </c>
      <c r="L33" s="2" t="s">
        <v>144</v>
      </c>
      <c r="M33" s="2"/>
      <c r="N33" s="67" t="s">
        <v>173</v>
      </c>
      <c r="O33" s="68"/>
      <c r="P33" s="68"/>
      <c r="Q33" s="68"/>
      <c r="R33" s="2"/>
      <c r="S33" s="2"/>
      <c r="T33" s="2"/>
      <c r="U33" s="2"/>
      <c r="V33" s="2"/>
      <c r="W33" s="2"/>
      <c r="X33" s="2"/>
    </row>
    <row r="34" spans="9:24" x14ac:dyDescent="0.35">
      <c r="I34" s="2" t="s">
        <v>155</v>
      </c>
      <c r="J34" s="2"/>
      <c r="K34" s="82">
        <v>0.35</v>
      </c>
      <c r="L34" s="2" t="s">
        <v>145</v>
      </c>
      <c r="M34" s="2"/>
      <c r="N34" s="2"/>
      <c r="O34" s="2"/>
      <c r="P34" s="2"/>
      <c r="Q34" s="2"/>
      <c r="R34" s="2"/>
      <c r="S34" s="2"/>
      <c r="T34" s="2"/>
      <c r="U34" s="2"/>
      <c r="V34" s="2"/>
      <c r="W34" s="2"/>
      <c r="X34" s="2"/>
    </row>
    <row r="35" spans="9:24" x14ac:dyDescent="0.35">
      <c r="I35" s="2" t="s">
        <v>146</v>
      </c>
      <c r="J35" s="2"/>
      <c r="K35" s="82">
        <v>80</v>
      </c>
      <c r="L35" s="2" t="s">
        <v>144</v>
      </c>
      <c r="M35" s="2"/>
      <c r="N35" s="2"/>
      <c r="O35" s="2"/>
      <c r="P35" s="2"/>
      <c r="Q35" s="2"/>
      <c r="R35" s="2"/>
      <c r="S35" s="2"/>
      <c r="T35" s="2"/>
      <c r="U35" s="2"/>
      <c r="V35" s="2"/>
      <c r="W35" s="2"/>
      <c r="X35" s="2"/>
    </row>
    <row r="36" spans="9:24" x14ac:dyDescent="0.35">
      <c r="I36" s="2" t="s">
        <v>147</v>
      </c>
      <c r="J36" s="2"/>
      <c r="K36" s="31">
        <f>K35-K33</f>
        <v>70</v>
      </c>
      <c r="L36" s="2" t="s">
        <v>148</v>
      </c>
      <c r="M36" s="2"/>
      <c r="N36" s="2"/>
      <c r="O36" s="2"/>
      <c r="P36" s="2"/>
      <c r="Q36" s="2"/>
      <c r="R36" s="2"/>
      <c r="S36" s="2"/>
      <c r="T36" s="2"/>
      <c r="U36" s="2"/>
      <c r="V36" s="2"/>
      <c r="W36" s="2"/>
      <c r="X36" s="2"/>
    </row>
    <row r="37" spans="9:24" x14ac:dyDescent="0.35">
      <c r="I37" s="2" t="s">
        <v>149</v>
      </c>
      <c r="J37" s="2"/>
      <c r="K37" s="67">
        <v>0.85</v>
      </c>
      <c r="L37" s="2"/>
      <c r="M37" s="2"/>
      <c r="N37" s="2"/>
      <c r="O37" s="2"/>
      <c r="P37" s="2"/>
      <c r="Q37" s="2"/>
      <c r="R37" s="2"/>
      <c r="S37" s="2"/>
      <c r="T37" s="2"/>
      <c r="U37" s="2"/>
      <c r="V37" s="2"/>
      <c r="W37" s="2"/>
      <c r="X37" s="2"/>
    </row>
    <row r="38" spans="9:24" x14ac:dyDescent="0.35">
      <c r="I38" s="2" t="s">
        <v>156</v>
      </c>
      <c r="J38" s="2"/>
      <c r="K38" s="94">
        <f>K25</f>
        <v>103.99444810819975</v>
      </c>
      <c r="L38" s="2" t="s">
        <v>72</v>
      </c>
      <c r="M38" s="2"/>
      <c r="N38" s="2"/>
      <c r="O38" s="2"/>
      <c r="P38" s="2"/>
      <c r="Q38" s="2"/>
      <c r="R38" s="2"/>
      <c r="S38" s="2"/>
      <c r="T38" s="2"/>
      <c r="U38" s="2"/>
      <c r="V38" s="2"/>
      <c r="W38" s="2"/>
      <c r="X38" s="2"/>
    </row>
    <row r="39" spans="9:24" x14ac:dyDescent="0.35">
      <c r="I39" s="2" t="s">
        <v>157</v>
      </c>
      <c r="J39" s="2"/>
      <c r="K39" s="67">
        <v>4</v>
      </c>
      <c r="L39" s="2"/>
      <c r="M39" s="2"/>
      <c r="N39" s="2"/>
      <c r="O39" s="2"/>
      <c r="P39" s="2"/>
      <c r="Q39" s="2"/>
      <c r="R39" s="2"/>
      <c r="S39" s="2"/>
      <c r="T39" s="2"/>
      <c r="U39" s="2"/>
      <c r="V39" s="2"/>
      <c r="W39" s="2"/>
      <c r="X39" s="2"/>
    </row>
    <row r="40" spans="9:24" x14ac:dyDescent="0.35">
      <c r="I40" s="2"/>
      <c r="J40" s="2"/>
      <c r="K40" s="2"/>
      <c r="L40" s="2"/>
      <c r="M40" s="2"/>
      <c r="N40" s="2"/>
      <c r="O40" s="2"/>
      <c r="P40" s="2"/>
      <c r="Q40" s="2"/>
      <c r="R40" s="2"/>
      <c r="S40" s="2"/>
      <c r="T40" s="2"/>
      <c r="U40" s="2"/>
      <c r="V40" s="2"/>
      <c r="W40" s="2"/>
      <c r="X40" s="2"/>
    </row>
    <row r="41" spans="9:24" x14ac:dyDescent="0.35">
      <c r="I41" s="15" t="s">
        <v>170</v>
      </c>
      <c r="J41" s="15"/>
      <c r="K41" s="77">
        <f>K36*K34*K32/K37</f>
        <v>120.77058823529414</v>
      </c>
      <c r="L41" s="77" t="s">
        <v>150</v>
      </c>
      <c r="M41" s="77">
        <f>K41/3.6</f>
        <v>33.547385620915037</v>
      </c>
      <c r="N41" s="15" t="s">
        <v>151</v>
      </c>
      <c r="O41" s="78">
        <f>M41/1000*$K$38</f>
        <v>3.4887418531200147</v>
      </c>
      <c r="P41" s="15" t="s">
        <v>152</v>
      </c>
      <c r="Q41" s="2"/>
      <c r="R41" s="2"/>
      <c r="S41" s="2"/>
      <c r="T41" s="2"/>
      <c r="U41" s="2"/>
      <c r="V41" s="2"/>
      <c r="W41" s="2"/>
      <c r="X41" s="2"/>
    </row>
    <row r="42" spans="9:24" x14ac:dyDescent="0.35">
      <c r="I42" s="15" t="s">
        <v>171</v>
      </c>
      <c r="J42" s="15"/>
      <c r="K42" s="24">
        <f>K32*K34*K36/K39</f>
        <v>25.663750000000004</v>
      </c>
      <c r="L42" s="15"/>
      <c r="M42" s="79">
        <f>K42/3.6</f>
        <v>7.1288194444444457</v>
      </c>
      <c r="N42" s="15" t="s">
        <v>151</v>
      </c>
      <c r="O42" s="78">
        <f>M42/1000*$K$38</f>
        <v>0.74135764378800328</v>
      </c>
      <c r="P42" s="15" t="s">
        <v>152</v>
      </c>
      <c r="Q42" s="15"/>
      <c r="R42" s="15"/>
      <c r="S42" s="15"/>
      <c r="T42" s="15"/>
      <c r="U42" s="2"/>
      <c r="V42" s="2"/>
      <c r="W42" s="2"/>
      <c r="X42" s="2"/>
    </row>
    <row r="43" spans="9:24" x14ac:dyDescent="0.35">
      <c r="I43" s="15" t="s">
        <v>172</v>
      </c>
      <c r="J43" s="15"/>
      <c r="K43" s="77">
        <f>2*K41+K42</f>
        <v>267.2049264705883</v>
      </c>
      <c r="L43" s="74" t="s">
        <v>150</v>
      </c>
      <c r="M43" s="79">
        <f>K43/3.6</f>
        <v>74.223590686274534</v>
      </c>
      <c r="N43" s="15" t="s">
        <v>151</v>
      </c>
      <c r="O43" s="78">
        <f>M43/1000*$K$38</f>
        <v>7.7188413500280344</v>
      </c>
      <c r="P43" s="15" t="s">
        <v>152</v>
      </c>
      <c r="Q43" s="2"/>
      <c r="R43" s="2"/>
      <c r="S43" s="2"/>
      <c r="T43" s="2"/>
      <c r="U43" s="2"/>
      <c r="V43" s="2"/>
      <c r="W43" s="2"/>
      <c r="X43" s="2"/>
    </row>
    <row r="44" spans="9:24" x14ac:dyDescent="0.35">
      <c r="I44" s="15" t="s">
        <v>174</v>
      </c>
      <c r="J44" s="15"/>
      <c r="K44" s="79">
        <f>K41+K42</f>
        <v>146.43433823529415</v>
      </c>
      <c r="L44" s="15" t="s">
        <v>150</v>
      </c>
      <c r="M44" s="79">
        <f>K44/3.6</f>
        <v>40.676205065359483</v>
      </c>
      <c r="N44" s="15" t="s">
        <v>151</v>
      </c>
      <c r="O44" s="78">
        <f>M44/1000*$K$38</f>
        <v>4.2300994969080188</v>
      </c>
      <c r="P44" s="15" t="s">
        <v>152</v>
      </c>
      <c r="Q44" s="8"/>
      <c r="R44" s="2"/>
      <c r="S44" s="8"/>
      <c r="T44" s="2"/>
      <c r="U44" s="2"/>
      <c r="V44" s="2"/>
      <c r="W44" s="2"/>
      <c r="X44" s="2"/>
    </row>
    <row r="45" spans="9:24" x14ac:dyDescent="0.35">
      <c r="I45" s="15"/>
      <c r="J45" s="15"/>
      <c r="K45" s="80"/>
      <c r="L45" s="15"/>
      <c r="M45" s="80"/>
      <c r="N45" s="15"/>
      <c r="O45" s="79"/>
      <c r="P45" s="15"/>
      <c r="Q45" s="8"/>
      <c r="R45" s="2"/>
      <c r="S45" s="8"/>
      <c r="T45" s="2"/>
      <c r="U45" s="2"/>
      <c r="V45" s="2"/>
      <c r="W45" s="2"/>
      <c r="X45" s="2"/>
    </row>
    <row r="46" spans="9:24" x14ac:dyDescent="0.35">
      <c r="I46" s="2" t="s">
        <v>175</v>
      </c>
      <c r="J46" s="2"/>
      <c r="K46" s="80">
        <f>Q24</f>
        <v>19750</v>
      </c>
      <c r="L46" s="2" t="s">
        <v>153</v>
      </c>
      <c r="M46" s="5">
        <f>K46*M44/1000</f>
        <v>803.35505004084985</v>
      </c>
      <c r="N46" s="2" t="s">
        <v>66</v>
      </c>
      <c r="O46" s="71">
        <f>M46*K38/1000</f>
        <v>83.544465063933373</v>
      </c>
      <c r="P46" s="2" t="s">
        <v>31</v>
      </c>
      <c r="Q46" s="2"/>
      <c r="R46" s="2"/>
      <c r="S46" s="2"/>
      <c r="T46" s="2"/>
      <c r="U46" s="2"/>
      <c r="V46" s="2"/>
      <c r="W46" s="2"/>
      <c r="X46" s="2"/>
    </row>
    <row r="47" spans="9:24" x14ac:dyDescent="0.35">
      <c r="I47" s="2" t="s">
        <v>179</v>
      </c>
      <c r="J47" s="2"/>
      <c r="K47" s="87">
        <f>Laskuri!E9</f>
        <v>0</v>
      </c>
      <c r="L47" s="2"/>
      <c r="M47" s="24">
        <f>M46*$K$47</f>
        <v>0</v>
      </c>
      <c r="N47" s="2" t="s">
        <v>66</v>
      </c>
      <c r="O47" s="71">
        <f>O46*$K$47</f>
        <v>0</v>
      </c>
      <c r="P47" s="2" t="s">
        <v>31</v>
      </c>
      <c r="Q47" s="2"/>
      <c r="R47" s="2"/>
      <c r="S47" s="2"/>
      <c r="T47" s="2"/>
      <c r="U47" s="2"/>
      <c r="V47" s="2"/>
      <c r="W47" s="2"/>
      <c r="X47" s="2"/>
    </row>
    <row r="48" spans="9:24" x14ac:dyDescent="0.35">
      <c r="I48" s="2" t="s">
        <v>181</v>
      </c>
      <c r="J48" s="2"/>
      <c r="K48" s="95">
        <v>0</v>
      </c>
      <c r="L48" s="2"/>
      <c r="M48" s="2"/>
      <c r="N48" s="2"/>
      <c r="O48" s="2"/>
      <c r="P48" s="2"/>
      <c r="Q48" s="2"/>
      <c r="R48" s="2"/>
      <c r="S48" s="2"/>
      <c r="T48" s="2"/>
      <c r="U48" s="2"/>
      <c r="V48" s="2"/>
      <c r="W48" s="2"/>
      <c r="X48" s="2"/>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D82" sqref="D82"/>
    </sheetView>
  </sheetViews>
  <sheetFormatPr defaultColWidth="8.90625" defaultRowHeight="14.5" x14ac:dyDescent="0.35"/>
  <cols>
    <col min="1" max="16384" width="8.90625" style="3"/>
  </cols>
  <sheetData/>
  <sheetProtection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2">
    <tabColor theme="4" tint="0.79998168889431442"/>
  </sheetPr>
  <dimension ref="B1:AJ84"/>
  <sheetViews>
    <sheetView topLeftCell="D1" zoomScale="90" zoomScaleNormal="90" workbookViewId="0">
      <selection activeCell="O13" sqref="O13"/>
    </sheetView>
  </sheetViews>
  <sheetFormatPr defaultColWidth="8.90625" defaultRowHeight="14.5" x14ac:dyDescent="0.35"/>
  <cols>
    <col min="1" max="1" width="8.90625" style="97"/>
    <col min="2" max="2" width="17.1796875" style="97" customWidth="1"/>
    <col min="3" max="3" width="19.54296875" style="97" customWidth="1"/>
    <col min="4" max="4" width="8.90625" style="97"/>
    <col min="5" max="5" width="8.90625" style="97" customWidth="1"/>
    <col min="6" max="6" width="7.54296875" style="97" customWidth="1"/>
    <col min="7" max="11" width="5" style="97" customWidth="1"/>
    <col min="12" max="12" width="17.36328125" style="97" customWidth="1"/>
    <col min="13" max="13" width="12.90625" style="97" customWidth="1"/>
    <col min="14" max="14" width="19.36328125" style="97" customWidth="1"/>
    <col min="15" max="15" width="14" style="97" customWidth="1"/>
    <col min="16" max="17" width="12.36328125" style="97" customWidth="1"/>
    <col min="18" max="18" width="7.90625" style="97" customWidth="1"/>
    <col min="19" max="19" width="12.1796875" style="97" customWidth="1"/>
    <col min="20" max="20" width="12.08984375" style="97" customWidth="1"/>
    <col min="21" max="21" width="11.6328125" style="97" customWidth="1"/>
    <col min="22" max="22" width="10.6328125" style="98" customWidth="1"/>
    <col min="23" max="23" width="12.54296875" style="97" customWidth="1"/>
    <col min="24" max="24" width="11.81640625" style="97" customWidth="1"/>
    <col min="25" max="25" width="8.90625" style="97"/>
    <col min="26" max="26" width="8.90625" style="97" customWidth="1"/>
    <col min="27" max="16384" width="8.90625" style="97"/>
  </cols>
  <sheetData>
    <row r="1" spans="2:36" ht="24.65" customHeight="1" x14ac:dyDescent="0.35"/>
    <row r="2" spans="2:36" ht="18.5" x14ac:dyDescent="0.45">
      <c r="B2" s="99" t="s">
        <v>139</v>
      </c>
      <c r="D2" s="100"/>
      <c r="E2" s="101"/>
      <c r="N2" s="124"/>
    </row>
    <row r="3" spans="2:36" ht="25.75" customHeight="1" x14ac:dyDescent="0.35">
      <c r="B3" s="100"/>
      <c r="D3" s="100"/>
      <c r="E3" s="101"/>
    </row>
    <row r="4" spans="2:36" x14ac:dyDescent="0.35">
      <c r="B4" s="100" t="s">
        <v>47</v>
      </c>
      <c r="C4" s="160">
        <v>19750</v>
      </c>
      <c r="D4" s="103" t="s">
        <v>49</v>
      </c>
      <c r="N4" s="124"/>
    </row>
    <row r="5" spans="2:36" ht="24.65" customHeight="1" x14ac:dyDescent="0.35">
      <c r="B5" s="98"/>
      <c r="C5" s="102"/>
      <c r="D5" s="98"/>
      <c r="E5" s="98"/>
      <c r="F5" s="98"/>
      <c r="G5" s="98"/>
      <c r="H5" s="98"/>
      <c r="I5" s="98"/>
      <c r="J5" s="98"/>
      <c r="K5" s="98"/>
      <c r="M5" s="98"/>
    </row>
    <row r="6" spans="2:36" ht="14.4" customHeight="1" x14ac:dyDescent="0.35">
      <c r="B6" s="133"/>
      <c r="C6" s="134"/>
      <c r="D6" s="135"/>
      <c r="E6" s="135"/>
      <c r="F6" s="135"/>
      <c r="G6" s="135"/>
      <c r="H6" s="135"/>
      <c r="I6" s="135"/>
      <c r="J6" s="135"/>
      <c r="K6" s="135"/>
      <c r="L6" s="136"/>
      <c r="M6" s="98"/>
    </row>
    <row r="7" spans="2:36" x14ac:dyDescent="0.35">
      <c r="B7" s="137" t="s">
        <v>209</v>
      </c>
      <c r="C7" s="107" t="s">
        <v>42</v>
      </c>
      <c r="D7" s="108"/>
      <c r="E7" s="109" t="str">
        <f>"Uusi "&amp;H7&amp;" %"</f>
        <v>Uusi 70 %</v>
      </c>
      <c r="F7" s="108"/>
      <c r="G7" s="108"/>
      <c r="H7" s="108">
        <f>100-J7</f>
        <v>70</v>
      </c>
      <c r="I7" s="108"/>
      <c r="J7" s="126">
        <v>30</v>
      </c>
      <c r="K7" s="108"/>
      <c r="L7" s="138" t="str">
        <f>"Vanha "&amp;J7&amp;" %"</f>
        <v>Vanha 30 %</v>
      </c>
      <c r="M7" s="98"/>
      <c r="S7" s="103" t="s">
        <v>257</v>
      </c>
      <c r="T7" s="103" t="s">
        <v>195</v>
      </c>
      <c r="W7" s="97" t="s">
        <v>33</v>
      </c>
      <c r="X7" s="97" t="s">
        <v>33</v>
      </c>
    </row>
    <row r="8" spans="2:36" x14ac:dyDescent="0.35">
      <c r="B8" s="139"/>
      <c r="C8" s="107"/>
      <c r="D8" s="108"/>
      <c r="E8" s="109"/>
      <c r="F8" s="108"/>
      <c r="G8" s="108"/>
      <c r="H8" s="108"/>
      <c r="I8" s="108"/>
      <c r="J8" s="108"/>
      <c r="K8" s="108"/>
      <c r="L8" s="138"/>
      <c r="M8" s="98"/>
      <c r="N8" s="102" t="s">
        <v>189</v>
      </c>
      <c r="O8" s="103" t="s">
        <v>184</v>
      </c>
      <c r="P8" s="103"/>
      <c r="Q8" s="104"/>
      <c r="S8" s="103" t="s">
        <v>258</v>
      </c>
      <c r="T8" s="103" t="s">
        <v>196</v>
      </c>
      <c r="V8" s="97"/>
      <c r="W8" s="103" t="s">
        <v>251</v>
      </c>
      <c r="X8" s="103" t="s">
        <v>252</v>
      </c>
      <c r="Y8" s="105"/>
      <c r="Z8" s="106" t="s">
        <v>193</v>
      </c>
    </row>
    <row r="9" spans="2:36" x14ac:dyDescent="0.35">
      <c r="B9" s="139"/>
      <c r="C9" s="107" t="s">
        <v>178</v>
      </c>
      <c r="D9" s="108"/>
      <c r="E9" s="113">
        <f>I9%</f>
        <v>0</v>
      </c>
      <c r="F9" s="108"/>
      <c r="G9" s="108"/>
      <c r="H9" s="108"/>
      <c r="I9" s="126">
        <v>0</v>
      </c>
      <c r="J9" s="108"/>
      <c r="K9" s="108"/>
      <c r="L9" s="140"/>
      <c r="M9" s="98"/>
      <c r="N9" s="98"/>
      <c r="O9" s="103" t="s">
        <v>190</v>
      </c>
      <c r="P9" s="103" t="s">
        <v>190</v>
      </c>
      <c r="Q9" s="105" t="s">
        <v>191</v>
      </c>
      <c r="R9" s="98"/>
      <c r="S9" s="105" t="str">
        <f>"tavoite "&amp;Lähtöoletukset!B50&amp;" %"</f>
        <v>tavoite -80 %</v>
      </c>
      <c r="T9" s="103" t="s">
        <v>190</v>
      </c>
      <c r="V9" s="97"/>
      <c r="W9" s="103" t="s">
        <v>188</v>
      </c>
      <c r="X9" s="105" t="s">
        <v>187</v>
      </c>
      <c r="Y9" s="105"/>
      <c r="Z9" s="105" t="s">
        <v>187</v>
      </c>
    </row>
    <row r="10" spans="2:36" x14ac:dyDescent="0.35">
      <c r="B10" s="139"/>
      <c r="C10" s="107"/>
      <c r="D10" s="108"/>
      <c r="E10" s="109"/>
      <c r="F10" s="108"/>
      <c r="G10" s="108"/>
      <c r="H10" s="108"/>
      <c r="I10" s="108"/>
      <c r="J10" s="108"/>
      <c r="K10" s="108"/>
      <c r="L10" s="138"/>
      <c r="M10" s="98"/>
      <c r="N10" s="98" t="s">
        <v>164</v>
      </c>
      <c r="O10" s="150">
        <f>Z10*$C$4*190/1000000</f>
        <v>125.13669273267693</v>
      </c>
      <c r="P10" s="153">
        <f>IF($H$11="KYLLÄ",0,(Keittiöt!U12*Keittiöt!K25/1000/1000*Keittiöt!U25))</f>
        <v>125.13669273267696</v>
      </c>
      <c r="Q10" s="112">
        <f>IFERROR((P10-O10)/O10,0)</f>
        <v>2.2712530441506744E-16</v>
      </c>
      <c r="R10" s="98"/>
      <c r="S10" s="156">
        <f>O10*(100+Lähtöoletukset!$B$50)/100</f>
        <v>25.02733854653539</v>
      </c>
      <c r="T10" s="156">
        <f>(O10-S10)/Lähtöoletukset!$B$53</f>
        <v>10.010935418614155</v>
      </c>
      <c r="V10" s="97"/>
      <c r="W10" s="111">
        <f>P10/2</f>
        <v>62.568346366338481</v>
      </c>
      <c r="X10" s="111">
        <f>P10/190/$C$4*1000000</f>
        <v>33.347553026696055</v>
      </c>
      <c r="Y10" s="98"/>
      <c r="Z10" s="110">
        <f>Keittiöt!N12/Keittiöt!Q24*Keittiöt!K25</f>
        <v>33.347553026696055</v>
      </c>
    </row>
    <row r="11" spans="2:36" x14ac:dyDescent="0.35">
      <c r="B11" s="139"/>
      <c r="C11" s="108"/>
      <c r="D11" s="108"/>
      <c r="E11" s="132" t="s">
        <v>205</v>
      </c>
      <c r="F11" s="108"/>
      <c r="G11" s="108"/>
      <c r="H11" s="175" t="s">
        <v>206</v>
      </c>
      <c r="I11" s="175"/>
      <c r="J11" s="176"/>
      <c r="K11" s="108"/>
      <c r="L11" s="141"/>
      <c r="M11" s="98"/>
      <c r="N11" s="98" t="s">
        <v>178</v>
      </c>
      <c r="O11" s="151">
        <f t="shared" ref="O11:O15" si="0">Z11*$C$4*190/1000000</f>
        <v>0</v>
      </c>
      <c r="P11" s="154">
        <f>IF($H$11="KYLLÄ",0,(Keittiöt!O47*Keittiöt!U25/1000))</f>
        <v>0</v>
      </c>
      <c r="Q11" s="112">
        <f>IFERROR((P11-O11)/O11,0)</f>
        <v>0</v>
      </c>
      <c r="R11" s="98"/>
      <c r="S11" s="157">
        <f>O11*(100+Lähtöoletukset!$B$50)/100</f>
        <v>0</v>
      </c>
      <c r="T11" s="157">
        <f>(O11-S11)/Lähtöoletukset!$B$53</f>
        <v>0</v>
      </c>
      <c r="V11" s="97"/>
      <c r="W11" s="111">
        <f t="shared" ref="W11:W15" si="1">P11/2</f>
        <v>0</v>
      </c>
      <c r="X11" s="111">
        <f t="shared" ref="X11:X13" si="2">P11/190/$C$4*1000000</f>
        <v>0</v>
      </c>
      <c r="Y11" s="98"/>
      <c r="Z11" s="110">
        <v>0</v>
      </c>
      <c r="AJ11" s="97" t="s">
        <v>206</v>
      </c>
    </row>
    <row r="12" spans="2:36" x14ac:dyDescent="0.35">
      <c r="B12" s="142"/>
      <c r="C12" s="143"/>
      <c r="D12" s="144"/>
      <c r="E12" s="145"/>
      <c r="F12" s="144"/>
      <c r="G12" s="144"/>
      <c r="H12" s="144"/>
      <c r="I12" s="144"/>
      <c r="J12" s="144"/>
      <c r="K12" s="144"/>
      <c r="L12" s="146"/>
      <c r="M12" s="98"/>
      <c r="N12" s="98" t="s">
        <v>165</v>
      </c>
      <c r="O12" s="151">
        <f>Z12*$C$4*190/1000000</f>
        <v>196.52025999214956</v>
      </c>
      <c r="P12" s="154">
        <f>IF($H$16="KYLLÄ",0,(Keittiöt!U17*Keittiöt!U25*Keittiöt!K26/1000/1000))</f>
        <v>196.52025999214956</v>
      </c>
      <c r="Q12" s="112">
        <f t="shared" ref="Q12" si="3">IFERROR((P12-O12)/O12,0)</f>
        <v>0</v>
      </c>
      <c r="R12" s="98"/>
      <c r="S12" s="157">
        <f>O12*(100+Lähtöoletukset!$B$50)/100</f>
        <v>39.304051998429912</v>
      </c>
      <c r="T12" s="157">
        <f>(O12-S12)/Lähtöoletukset!$B$53</f>
        <v>15.721620799371966</v>
      </c>
      <c r="V12" s="97"/>
      <c r="W12" s="111">
        <f t="shared" si="1"/>
        <v>98.260129996074781</v>
      </c>
      <c r="X12" s="111">
        <f>P12/190/$C$4*1000000</f>
        <v>52.370489005236394</v>
      </c>
      <c r="Y12" s="98"/>
      <c r="Z12" s="110">
        <f>Keittiöt!N17*Keittiöt!K26/Keittiöt!Q24</f>
        <v>52.370489005236394</v>
      </c>
      <c r="AJ12" s="97" t="s">
        <v>207</v>
      </c>
    </row>
    <row r="13" spans="2:36" x14ac:dyDescent="0.35">
      <c r="B13" s="133"/>
      <c r="C13" s="134"/>
      <c r="D13" s="135"/>
      <c r="E13" s="147"/>
      <c r="F13" s="135"/>
      <c r="G13" s="135"/>
      <c r="H13" s="135"/>
      <c r="I13" s="135"/>
      <c r="J13" s="135"/>
      <c r="K13" s="135"/>
      <c r="L13" s="148"/>
      <c r="M13" s="98"/>
      <c r="N13" s="98" t="s">
        <v>43</v>
      </c>
      <c r="O13" s="151">
        <f t="shared" si="0"/>
        <v>21.308195999999999</v>
      </c>
      <c r="P13" s="154">
        <f>Kuljetukset!R48</f>
        <v>21.308195999999999</v>
      </c>
      <c r="Q13" s="112">
        <f>IFERROR((P13-O13)/O13,0)</f>
        <v>0</v>
      </c>
      <c r="R13" s="98"/>
      <c r="S13" s="157">
        <f>O13*(100+Lähtöoletukset!$B$50)/100</f>
        <v>4.2616391999999994</v>
      </c>
      <c r="T13" s="157">
        <f>(O13-S13)/Lähtöoletukset!$B$53</f>
        <v>1.7046556799999997</v>
      </c>
      <c r="V13" s="97"/>
      <c r="W13" s="111">
        <f t="shared" si="1"/>
        <v>10.654097999999999</v>
      </c>
      <c r="X13" s="111">
        <f t="shared" si="2"/>
        <v>5.6783999999999999</v>
      </c>
      <c r="Y13" s="98"/>
      <c r="Z13" s="167">
        <f>Kuljetukset!G56*Kuljetukset!R42</f>
        <v>5.6783999999999999</v>
      </c>
    </row>
    <row r="14" spans="2:36" x14ac:dyDescent="0.35">
      <c r="B14" s="137" t="s">
        <v>210</v>
      </c>
      <c r="C14" s="107" t="s">
        <v>214</v>
      </c>
      <c r="D14" s="108"/>
      <c r="E14" s="109" t="str">
        <f>"Uusi "&amp;H14&amp;" %"</f>
        <v>Uusi 50 %</v>
      </c>
      <c r="F14" s="108"/>
      <c r="G14" s="108"/>
      <c r="H14" s="108">
        <f>100-J14</f>
        <v>50</v>
      </c>
      <c r="I14" s="108"/>
      <c r="J14" s="126">
        <v>50</v>
      </c>
      <c r="K14" s="108"/>
      <c r="L14" s="138" t="str">
        <f>"Vanha "&amp;J14&amp;" %"</f>
        <v>Vanha 50 %</v>
      </c>
      <c r="M14" s="98"/>
      <c r="N14" s="114" t="s">
        <v>48</v>
      </c>
      <c r="O14" s="151">
        <f>Z14*$C$4*190/1000000</f>
        <v>4465.4750000000004</v>
      </c>
      <c r="P14" s="154">
        <f>Ruoka!F39</f>
        <v>4465.4750000000004</v>
      </c>
      <c r="Q14" s="112">
        <f>IFERROR((P14-O14)/O14,0)</f>
        <v>0</v>
      </c>
      <c r="R14" s="98"/>
      <c r="S14" s="157">
        <f>O14*(100+Lähtöoletukset!$B$50)/100</f>
        <v>893.09500000000003</v>
      </c>
      <c r="T14" s="157">
        <f>(O14-S14)/Lähtöoletukset!$B$53</f>
        <v>357.238</v>
      </c>
      <c r="V14" s="97"/>
      <c r="W14" s="111">
        <f t="shared" si="1"/>
        <v>2232.7375000000002</v>
      </c>
      <c r="X14" s="111">
        <f>P14/190/$C$4*1000000</f>
        <v>1190</v>
      </c>
      <c r="Y14" s="98"/>
      <c r="Z14" s="110">
        <f>Ruoka!J42*1000</f>
        <v>1190</v>
      </c>
    </row>
    <row r="15" spans="2:36" x14ac:dyDescent="0.35">
      <c r="B15" s="139"/>
      <c r="C15" s="107"/>
      <c r="D15" s="108"/>
      <c r="E15" s="109"/>
      <c r="F15" s="108"/>
      <c r="G15" s="108"/>
      <c r="H15" s="108"/>
      <c r="I15" s="108"/>
      <c r="J15" s="108"/>
      <c r="K15" s="108"/>
      <c r="L15" s="138"/>
      <c r="M15" s="98"/>
      <c r="N15" s="98" t="s">
        <v>45</v>
      </c>
      <c r="O15" s="152">
        <f t="shared" si="0"/>
        <v>535.85699999999997</v>
      </c>
      <c r="P15" s="155">
        <f>Ruoka!C42</f>
        <v>535.85699999999997</v>
      </c>
      <c r="Q15" s="112">
        <f>IFERROR((P15-O15)/O15,0)</f>
        <v>0</v>
      </c>
      <c r="R15" s="98"/>
      <c r="S15" s="158">
        <f>O15*(100+Lähtöoletukset!$B$50)/100</f>
        <v>107.17139999999999</v>
      </c>
      <c r="T15" s="158">
        <f>(O15-S15)/Lähtöoletukset!$B$53</f>
        <v>42.868559999999995</v>
      </c>
      <c r="V15" s="97"/>
      <c r="W15" s="111">
        <f t="shared" si="1"/>
        <v>267.92849999999999</v>
      </c>
      <c r="X15" s="111">
        <f>P15/190/$C$4*1000000</f>
        <v>142.80000000000001</v>
      </c>
      <c r="Y15" s="98"/>
      <c r="Z15" s="110">
        <f>Ruoka!J43*1000</f>
        <v>142.79999999999998</v>
      </c>
    </row>
    <row r="16" spans="2:36" x14ac:dyDescent="0.35">
      <c r="B16" s="139"/>
      <c r="C16" s="108"/>
      <c r="D16" s="108"/>
      <c r="E16" s="132" t="s">
        <v>208</v>
      </c>
      <c r="F16" s="132"/>
      <c r="G16" s="108"/>
      <c r="H16" s="175" t="s">
        <v>206</v>
      </c>
      <c r="I16" s="175"/>
      <c r="J16" s="176"/>
      <c r="K16" s="108"/>
      <c r="L16" s="141"/>
      <c r="M16" s="98"/>
      <c r="N16" s="98"/>
      <c r="O16" s="115">
        <f>SUM(O10:O15)</f>
        <v>5344.2971487248269</v>
      </c>
      <c r="P16" s="115">
        <f>SUM(P10:P15)</f>
        <v>5344.2971487248269</v>
      </c>
      <c r="Q16" s="159">
        <f>IFERROR((P16-O16)/O16,0)</f>
        <v>0</v>
      </c>
      <c r="R16" s="98"/>
      <c r="S16" s="116">
        <f>O16*(100+Lähtöoletukset!$B$50)/100</f>
        <v>1068.8594297449654</v>
      </c>
      <c r="T16" s="116">
        <f>(O16-S16)/Lähtöoletukset!$B$53</f>
        <v>427.54377189798618</v>
      </c>
      <c r="V16" s="97"/>
      <c r="W16" s="115">
        <f>SUM(W10:W15)</f>
        <v>2672.1485743624135</v>
      </c>
      <c r="X16" s="115">
        <f>SUM(X10:X15)</f>
        <v>1424.1964420319323</v>
      </c>
      <c r="Y16" s="98"/>
      <c r="Z16" s="115">
        <f>SUM(Z10:Z15)</f>
        <v>1424.1964420319323</v>
      </c>
    </row>
    <row r="17" spans="2:26" x14ac:dyDescent="0.35">
      <c r="B17" s="142"/>
      <c r="C17" s="143"/>
      <c r="D17" s="144"/>
      <c r="E17" s="145"/>
      <c r="F17" s="144"/>
      <c r="G17" s="144"/>
      <c r="H17" s="144"/>
      <c r="I17" s="144"/>
      <c r="J17" s="144"/>
      <c r="K17" s="144"/>
      <c r="L17" s="146"/>
      <c r="M17" s="98"/>
      <c r="N17" s="98"/>
      <c r="O17" s="115"/>
      <c r="P17" s="115"/>
      <c r="Q17" s="112"/>
      <c r="R17" s="98"/>
      <c r="S17" s="116"/>
      <c r="T17" s="116"/>
      <c r="V17" s="97"/>
      <c r="W17" s="115"/>
      <c r="X17" s="115"/>
      <c r="Y17" s="98"/>
      <c r="Z17" s="115"/>
    </row>
    <row r="18" spans="2:26" x14ac:dyDescent="0.35">
      <c r="B18" s="133"/>
      <c r="C18" s="134"/>
      <c r="D18" s="135"/>
      <c r="E18" s="147"/>
      <c r="F18" s="135"/>
      <c r="G18" s="135"/>
      <c r="H18" s="135"/>
      <c r="I18" s="135"/>
      <c r="J18" s="135"/>
      <c r="K18" s="135"/>
      <c r="L18" s="148"/>
      <c r="M18" s="98"/>
      <c r="N18" s="98"/>
      <c r="O18" s="98"/>
      <c r="P18" s="98"/>
      <c r="Q18" s="98"/>
      <c r="R18" s="98"/>
      <c r="S18" s="98"/>
      <c r="T18" s="98"/>
      <c r="V18" s="97"/>
      <c r="W18" s="98"/>
      <c r="X18" s="98"/>
      <c r="Y18" s="98"/>
      <c r="Z18" s="98"/>
    </row>
    <row r="19" spans="2:26" x14ac:dyDescent="0.35">
      <c r="B19" s="137" t="s">
        <v>211</v>
      </c>
      <c r="C19" s="107" t="s">
        <v>212</v>
      </c>
      <c r="D19" s="108"/>
      <c r="E19" s="109" t="str">
        <f>H19&amp;" krt/vko"</f>
        <v>5 krt/vko</v>
      </c>
      <c r="F19" s="108"/>
      <c r="G19" s="108"/>
      <c r="H19" s="108">
        <f>7-J19</f>
        <v>5</v>
      </c>
      <c r="I19" s="108"/>
      <c r="J19" s="126">
        <v>2</v>
      </c>
      <c r="K19" s="108"/>
      <c r="L19" s="138"/>
      <c r="M19" s="98"/>
      <c r="N19" s="98"/>
      <c r="O19" s="105" t="s">
        <v>184</v>
      </c>
      <c r="P19" s="105" t="s">
        <v>190</v>
      </c>
      <c r="Q19" s="105" t="s">
        <v>191</v>
      </c>
      <c r="R19" s="98"/>
      <c r="S19" s="98" t="s">
        <v>192</v>
      </c>
      <c r="T19" s="97" t="s">
        <v>194</v>
      </c>
      <c r="V19" s="97"/>
      <c r="W19" s="105" t="s">
        <v>185</v>
      </c>
      <c r="X19" s="105" t="s">
        <v>186</v>
      </c>
      <c r="Y19" s="105"/>
      <c r="Z19" s="106" t="s">
        <v>193</v>
      </c>
    </row>
    <row r="20" spans="2:26" x14ac:dyDescent="0.35">
      <c r="B20" s="139"/>
      <c r="C20" s="107"/>
      <c r="D20" s="108"/>
      <c r="E20" s="109"/>
      <c r="F20" s="108"/>
      <c r="G20" s="108"/>
      <c r="H20" s="108"/>
      <c r="I20" s="108"/>
      <c r="J20" s="108"/>
      <c r="K20" s="108"/>
      <c r="L20" s="138"/>
      <c r="M20" s="98"/>
      <c r="N20" s="98" t="s">
        <v>41</v>
      </c>
      <c r="O20" s="150">
        <f>O10+O12+O11</f>
        <v>321.65695272482651</v>
      </c>
      <c r="P20" s="153">
        <f>P10+P12+P11</f>
        <v>321.65695272482651</v>
      </c>
      <c r="Q20" s="112">
        <f>IFERROR((P20-O20)/O20,0)</f>
        <v>0</v>
      </c>
      <c r="R20" s="98"/>
      <c r="S20" s="156">
        <f>O20*0.2</f>
        <v>64.331390544965302</v>
      </c>
      <c r="T20" s="156">
        <f>(O20-S20)/10</f>
        <v>25.732556217986122</v>
      </c>
      <c r="V20" s="97"/>
      <c r="W20" s="111">
        <f>W10+W12+W11</f>
        <v>160.82847636241326</v>
      </c>
      <c r="X20" s="111">
        <f>X10+X12+X11</f>
        <v>85.718042031932441</v>
      </c>
      <c r="Y20" s="115"/>
      <c r="Z20" s="110">
        <f>Z10+Z12+Z11</f>
        <v>85.718042031932441</v>
      </c>
    </row>
    <row r="21" spans="2:26" x14ac:dyDescent="0.35">
      <c r="B21" s="139"/>
      <c r="C21" s="107" t="s">
        <v>44</v>
      </c>
      <c r="D21" s="108"/>
      <c r="E21" s="109" t="str">
        <f>"Diesel "&amp;H21&amp;" %"</f>
        <v>Diesel 100 %</v>
      </c>
      <c r="F21" s="108"/>
      <c r="G21" s="108"/>
      <c r="H21" s="108">
        <f>100-J21</f>
        <v>100</v>
      </c>
      <c r="I21" s="108"/>
      <c r="J21" s="126">
        <v>0</v>
      </c>
      <c r="K21" s="108"/>
      <c r="L21" s="138" t="str">
        <f>"Bio/sähkö "&amp;J21&amp;" %"</f>
        <v>Bio/sähkö 0 %</v>
      </c>
      <c r="M21" s="98"/>
      <c r="N21" s="98" t="s">
        <v>43</v>
      </c>
      <c r="O21" s="151">
        <f>O13</f>
        <v>21.308195999999999</v>
      </c>
      <c r="P21" s="154">
        <f>P13</f>
        <v>21.308195999999999</v>
      </c>
      <c r="Q21" s="112">
        <f>IFERROR((P21-O21)/O21,0)</f>
        <v>0</v>
      </c>
      <c r="R21" s="98"/>
      <c r="S21" s="157">
        <f>O21*0.2</f>
        <v>4.2616392000000003</v>
      </c>
      <c r="T21" s="157">
        <f>(O21-S21)/10</f>
        <v>1.7046556799999997</v>
      </c>
      <c r="V21" s="97"/>
      <c r="W21" s="111">
        <f>W13</f>
        <v>10.654097999999999</v>
      </c>
      <c r="X21" s="111">
        <f>X13</f>
        <v>5.6783999999999999</v>
      </c>
      <c r="Y21" s="115"/>
      <c r="Z21" s="110">
        <f>Z13</f>
        <v>5.6783999999999999</v>
      </c>
    </row>
    <row r="22" spans="2:26" x14ac:dyDescent="0.35">
      <c r="B22" s="142"/>
      <c r="C22" s="143"/>
      <c r="D22" s="144"/>
      <c r="E22" s="145"/>
      <c r="F22" s="144"/>
      <c r="G22" s="144"/>
      <c r="H22" s="144"/>
      <c r="I22" s="144"/>
      <c r="J22" s="144"/>
      <c r="K22" s="144"/>
      <c r="L22" s="146"/>
      <c r="M22" s="98"/>
      <c r="N22" s="98" t="s">
        <v>48</v>
      </c>
      <c r="O22" s="152">
        <f>O14+O15</f>
        <v>5001.3320000000003</v>
      </c>
      <c r="P22" s="155">
        <f>P14+P15</f>
        <v>5001.3320000000003</v>
      </c>
      <c r="Q22" s="112">
        <f>IFERROR((P22-O22)/O22,0)</f>
        <v>0</v>
      </c>
      <c r="R22" s="98"/>
      <c r="S22" s="158">
        <f>O22*0.2</f>
        <v>1000.2664000000001</v>
      </c>
      <c r="T22" s="158">
        <f>(O22-S22)/10</f>
        <v>400.10656000000006</v>
      </c>
      <c r="V22" s="97"/>
      <c r="W22" s="111">
        <f>W14+W15</f>
        <v>2500.6660000000002</v>
      </c>
      <c r="X22" s="111">
        <f>X14+X15</f>
        <v>1332.8</v>
      </c>
      <c r="Y22" s="115"/>
      <c r="Z22" s="110">
        <f>Z14+Z15</f>
        <v>1332.8</v>
      </c>
    </row>
    <row r="23" spans="2:26" x14ac:dyDescent="0.35">
      <c r="B23" s="133"/>
      <c r="C23" s="134"/>
      <c r="D23" s="135"/>
      <c r="E23" s="147"/>
      <c r="F23" s="135"/>
      <c r="G23" s="135"/>
      <c r="H23" s="135"/>
      <c r="I23" s="135"/>
      <c r="J23" s="135"/>
      <c r="K23" s="135"/>
      <c r="L23" s="148"/>
      <c r="M23" s="98"/>
      <c r="N23" s="98"/>
      <c r="O23" s="115">
        <f>SUM(O20:O22)</f>
        <v>5344.2971487248269</v>
      </c>
      <c r="P23" s="115">
        <f>SUM(P20:P22)</f>
        <v>5344.2971487248269</v>
      </c>
      <c r="Q23" s="112">
        <f>IFERROR((P23-O23)/O23,0)</f>
        <v>0</v>
      </c>
      <c r="R23" s="98"/>
      <c r="S23" s="116">
        <f>O23*0.2</f>
        <v>1068.8594297449654</v>
      </c>
      <c r="T23" s="116">
        <f>(O23-S23)/10</f>
        <v>427.54377189798618</v>
      </c>
      <c r="V23" s="97"/>
      <c r="W23" s="115">
        <f>SUM(W20:W22)</f>
        <v>2672.1485743624135</v>
      </c>
      <c r="X23" s="115">
        <f>SUM(X20:X22)</f>
        <v>1424.1964420319323</v>
      </c>
      <c r="Y23" s="115"/>
      <c r="Z23" s="115">
        <f>SUM(Z20:Z22)</f>
        <v>1424.1964420319323</v>
      </c>
    </row>
    <row r="24" spans="2:26" x14ac:dyDescent="0.35">
      <c r="B24" s="137" t="s">
        <v>213</v>
      </c>
      <c r="C24" s="107" t="s">
        <v>163</v>
      </c>
      <c r="D24" s="108"/>
      <c r="E24" s="113">
        <f>100%-J24%</f>
        <v>0.24</v>
      </c>
      <c r="F24" s="108"/>
      <c r="G24" s="108"/>
      <c r="H24" s="108"/>
      <c r="I24" s="108"/>
      <c r="J24" s="126">
        <v>76</v>
      </c>
      <c r="K24" s="108"/>
      <c r="L24" s="140"/>
      <c r="V24" s="97"/>
    </row>
    <row r="25" spans="2:26" x14ac:dyDescent="0.35">
      <c r="B25" s="139"/>
      <c r="C25" s="107"/>
      <c r="D25" s="108"/>
      <c r="E25" s="113"/>
      <c r="F25" s="108"/>
      <c r="G25" s="108"/>
      <c r="H25" s="108"/>
      <c r="I25" s="108"/>
      <c r="J25" s="108"/>
      <c r="K25" s="108"/>
      <c r="L25" s="140"/>
      <c r="M25" s="98"/>
      <c r="V25" s="97"/>
    </row>
    <row r="26" spans="2:26" x14ac:dyDescent="0.35">
      <c r="B26" s="139"/>
      <c r="C26" s="107" t="s">
        <v>45</v>
      </c>
      <c r="D26" s="108"/>
      <c r="E26" s="113">
        <f>J26%</f>
        <v>0.12</v>
      </c>
      <c r="F26" s="108"/>
      <c r="G26" s="108"/>
      <c r="H26" s="108"/>
      <c r="I26" s="108"/>
      <c r="J26" s="126">
        <v>12</v>
      </c>
      <c r="K26" s="108"/>
      <c r="L26" s="140"/>
      <c r="M26" s="98"/>
      <c r="V26" s="97"/>
    </row>
    <row r="27" spans="2:26" x14ac:dyDescent="0.35">
      <c r="B27" s="142"/>
      <c r="C27" s="143"/>
      <c r="D27" s="144"/>
      <c r="E27" s="145"/>
      <c r="F27" s="144"/>
      <c r="G27" s="144"/>
      <c r="H27" s="144"/>
      <c r="I27" s="144"/>
      <c r="J27" s="144"/>
      <c r="K27" s="144"/>
      <c r="L27" s="146"/>
      <c r="M27" s="98"/>
      <c r="V27" s="97"/>
    </row>
    <row r="29" spans="2:26" x14ac:dyDescent="0.35">
      <c r="L29" s="149"/>
    </row>
    <row r="31" spans="2:26" x14ac:dyDescent="0.35">
      <c r="U31" s="129"/>
    </row>
    <row r="32" spans="2:26" x14ac:dyDescent="0.35">
      <c r="X32" s="124"/>
    </row>
    <row r="59" spans="2:15" ht="15" customHeight="1" x14ac:dyDescent="0.35">
      <c r="B59" s="98"/>
      <c r="M59" s="98"/>
    </row>
    <row r="60" spans="2:15" ht="15" customHeight="1" x14ac:dyDescent="0.35">
      <c r="B60" s="98"/>
      <c r="M60" s="98"/>
    </row>
    <row r="61" spans="2:15" ht="15" customHeight="1" x14ac:dyDescent="0.35">
      <c r="B61" s="98"/>
      <c r="M61" s="98"/>
    </row>
    <row r="62" spans="2:15" ht="15" customHeight="1" x14ac:dyDescent="0.35">
      <c r="B62" s="98"/>
      <c r="M62" s="98"/>
      <c r="N62" s="98"/>
      <c r="O62" s="98"/>
    </row>
    <row r="63" spans="2:15" ht="15" customHeight="1" x14ac:dyDescent="0.35">
      <c r="M63" s="98"/>
      <c r="N63" s="117"/>
      <c r="O63" s="98"/>
    </row>
    <row r="64" spans="2:15" x14ac:dyDescent="0.35">
      <c r="M64" s="98"/>
      <c r="N64" s="118"/>
      <c r="O64" s="98"/>
    </row>
    <row r="65" spans="4:15" x14ac:dyDescent="0.35">
      <c r="M65" s="98"/>
      <c r="N65" s="119"/>
      <c r="O65" s="98"/>
    </row>
    <row r="66" spans="4:15" ht="15" customHeight="1" x14ac:dyDescent="0.35">
      <c r="M66" s="98"/>
      <c r="N66" s="120"/>
      <c r="O66" s="98"/>
    </row>
    <row r="67" spans="4:15" x14ac:dyDescent="0.35">
      <c r="E67" s="114"/>
      <c r="F67" s="98"/>
      <c r="G67" s="98"/>
      <c r="H67" s="98"/>
      <c r="I67" s="98"/>
      <c r="J67" s="98"/>
      <c r="K67" s="98"/>
      <c r="L67" s="98"/>
      <c r="M67" s="98"/>
      <c r="N67" s="121"/>
      <c r="O67" s="98"/>
    </row>
    <row r="68" spans="4:15" x14ac:dyDescent="0.35">
      <c r="D68" s="122"/>
      <c r="E68" s="123"/>
      <c r="F68" s="122"/>
    </row>
    <row r="82" spans="3:5" x14ac:dyDescent="0.35">
      <c r="C82" s="98"/>
      <c r="D82" s="124"/>
      <c r="E82" s="122"/>
    </row>
    <row r="83" spans="3:5" x14ac:dyDescent="0.35">
      <c r="C83" s="98"/>
      <c r="D83" s="124"/>
      <c r="E83" s="122"/>
    </row>
    <row r="84" spans="3:5" x14ac:dyDescent="0.35">
      <c r="C84" s="98"/>
      <c r="D84" s="125"/>
    </row>
  </sheetData>
  <protectedRanges>
    <protectedRange sqref="C4" name="Ruokailijoiden määrä"/>
    <protectedRange sqref="H16" name="Alue4"/>
    <protectedRange sqref="H11" name="Alue5"/>
  </protectedRanges>
  <mergeCells count="2">
    <mergeCell ref="H11:J11"/>
    <mergeCell ref="H16:J16"/>
  </mergeCells>
  <dataValidations count="1">
    <dataValidation type="list" allowBlank="1" showInputMessage="1" showErrorMessage="1" prompt="Valitse_x000a_EI / KYLLÄ" sqref="H11:J11 H16:J16" xr:uid="{00000000-0002-0000-0400-000000000000}">
      <formula1>$AJ$11:$AJ$12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2" r:id="rId4" name="Scroll Bar 10">
              <controlPr defaultSize="0" autoPict="0">
                <anchor moveWithCells="1">
                  <from>
                    <xdr:col>6</xdr:col>
                    <xdr:colOff>12700</xdr:colOff>
                    <xdr:row>6</xdr:row>
                    <xdr:rowOff>0</xdr:rowOff>
                  </from>
                  <to>
                    <xdr:col>10</xdr:col>
                    <xdr:colOff>76200</xdr:colOff>
                    <xdr:row>7</xdr:row>
                    <xdr:rowOff>0</xdr:rowOff>
                  </to>
                </anchor>
              </controlPr>
            </control>
          </mc:Choice>
        </mc:AlternateContent>
        <mc:AlternateContent xmlns:mc="http://schemas.openxmlformats.org/markup-compatibility/2006">
          <mc:Choice Requires="x14">
            <control shapeId="3083" r:id="rId5" name="Scroll Bar 11">
              <controlPr defaultSize="0" autoPict="0">
                <anchor moveWithCells="1">
                  <from>
                    <xdr:col>6</xdr:col>
                    <xdr:colOff>12700</xdr:colOff>
                    <xdr:row>25</xdr:row>
                    <xdr:rowOff>0</xdr:rowOff>
                  </from>
                  <to>
                    <xdr:col>10</xdr:col>
                    <xdr:colOff>76200</xdr:colOff>
                    <xdr:row>25</xdr:row>
                    <xdr:rowOff>184150</xdr:rowOff>
                  </to>
                </anchor>
              </controlPr>
            </control>
          </mc:Choice>
        </mc:AlternateContent>
        <mc:AlternateContent xmlns:mc="http://schemas.openxmlformats.org/markup-compatibility/2006">
          <mc:Choice Requires="x14">
            <control shapeId="3084" r:id="rId6" name="Scroll Bar 12">
              <controlPr defaultSize="0" autoPict="0">
                <anchor moveWithCells="1">
                  <from>
                    <xdr:col>6</xdr:col>
                    <xdr:colOff>12700</xdr:colOff>
                    <xdr:row>23</xdr:row>
                    <xdr:rowOff>0</xdr:rowOff>
                  </from>
                  <to>
                    <xdr:col>10</xdr:col>
                    <xdr:colOff>76200</xdr:colOff>
                    <xdr:row>24</xdr:row>
                    <xdr:rowOff>0</xdr:rowOff>
                  </to>
                </anchor>
              </controlPr>
            </control>
          </mc:Choice>
        </mc:AlternateContent>
        <mc:AlternateContent xmlns:mc="http://schemas.openxmlformats.org/markup-compatibility/2006">
          <mc:Choice Requires="x14">
            <control shapeId="3085" r:id="rId7" name="Scroll Bar 13">
              <controlPr defaultSize="0" autoPict="0">
                <anchor moveWithCells="1">
                  <from>
                    <xdr:col>6</xdr:col>
                    <xdr:colOff>12700</xdr:colOff>
                    <xdr:row>20</xdr:row>
                    <xdr:rowOff>0</xdr:rowOff>
                  </from>
                  <to>
                    <xdr:col>10</xdr:col>
                    <xdr:colOff>76200</xdr:colOff>
                    <xdr:row>21</xdr:row>
                    <xdr:rowOff>0</xdr:rowOff>
                  </to>
                </anchor>
              </controlPr>
            </control>
          </mc:Choice>
        </mc:AlternateContent>
        <mc:AlternateContent xmlns:mc="http://schemas.openxmlformats.org/markup-compatibility/2006">
          <mc:Choice Requires="x14">
            <control shapeId="3086" r:id="rId8" name="Scroll Bar 14">
              <controlPr defaultSize="0" autoPict="0">
                <anchor moveWithCells="1">
                  <from>
                    <xdr:col>6</xdr:col>
                    <xdr:colOff>12700</xdr:colOff>
                    <xdr:row>18</xdr:row>
                    <xdr:rowOff>0</xdr:rowOff>
                  </from>
                  <to>
                    <xdr:col>10</xdr:col>
                    <xdr:colOff>76200</xdr:colOff>
                    <xdr:row>19</xdr:row>
                    <xdr:rowOff>0</xdr:rowOff>
                  </to>
                </anchor>
              </controlPr>
            </control>
          </mc:Choice>
        </mc:AlternateContent>
        <mc:AlternateContent xmlns:mc="http://schemas.openxmlformats.org/markup-compatibility/2006">
          <mc:Choice Requires="x14">
            <control shapeId="3087" r:id="rId9" name="Scroll Bar 15">
              <controlPr defaultSize="0" autoPict="0">
                <anchor moveWithCells="1">
                  <from>
                    <xdr:col>6</xdr:col>
                    <xdr:colOff>12700</xdr:colOff>
                    <xdr:row>13</xdr:row>
                    <xdr:rowOff>0</xdr:rowOff>
                  </from>
                  <to>
                    <xdr:col>10</xdr:col>
                    <xdr:colOff>76200</xdr:colOff>
                    <xdr:row>13</xdr:row>
                    <xdr:rowOff>184150</xdr:rowOff>
                  </to>
                </anchor>
              </controlPr>
            </control>
          </mc:Choice>
        </mc:AlternateContent>
        <mc:AlternateContent xmlns:mc="http://schemas.openxmlformats.org/markup-compatibility/2006">
          <mc:Choice Requires="x14">
            <control shapeId="3090" r:id="rId10" name="Scroll Bar 18">
              <controlPr defaultSize="0" autoPict="0">
                <anchor moveWithCells="1">
                  <from>
                    <xdr:col>6</xdr:col>
                    <xdr:colOff>12700</xdr:colOff>
                    <xdr:row>8</xdr:row>
                    <xdr:rowOff>0</xdr:rowOff>
                  </from>
                  <to>
                    <xdr:col>10</xdr:col>
                    <xdr:colOff>76200</xdr:colOff>
                    <xdr:row>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72"/>
  <sheetViews>
    <sheetView tabSelected="1" zoomScale="90" zoomScaleNormal="90" workbookViewId="0">
      <selection activeCell="B1" sqref="B1"/>
    </sheetView>
  </sheetViews>
  <sheetFormatPr defaultColWidth="8.90625" defaultRowHeight="14.5" x14ac:dyDescent="0.35"/>
  <cols>
    <col min="1" max="1" width="2" style="3" customWidth="1"/>
    <col min="2" max="2" width="8.90625" style="3"/>
    <col min="3" max="3" width="10.453125" style="3" customWidth="1"/>
    <col min="4" max="4" width="39.81640625" style="3" customWidth="1"/>
    <col min="5" max="16384" width="8.90625" style="3"/>
  </cols>
  <sheetData>
    <row r="1" spans="2:17" ht="24" customHeight="1" x14ac:dyDescent="0.45">
      <c r="B1" s="171" t="s">
        <v>248</v>
      </c>
    </row>
    <row r="2" spans="2:17" x14ac:dyDescent="0.35">
      <c r="B2" s="173" t="s">
        <v>249</v>
      </c>
      <c r="E2" s="172" t="s">
        <v>250</v>
      </c>
    </row>
    <row r="4" spans="2:17" x14ac:dyDescent="0.35">
      <c r="B4" s="3" t="s">
        <v>216</v>
      </c>
    </row>
    <row r="5" spans="2:17" x14ac:dyDescent="0.35">
      <c r="B5" s="79">
        <v>103.99444810819975</v>
      </c>
      <c r="C5" s="3" t="s">
        <v>72</v>
      </c>
      <c r="E5" s="162">
        <v>104</v>
      </c>
      <c r="F5" s="3" t="s">
        <v>217</v>
      </c>
    </row>
    <row r="7" spans="2:17" x14ac:dyDescent="0.35">
      <c r="B7" s="3" t="s">
        <v>259</v>
      </c>
    </row>
    <row r="8" spans="2:17" x14ac:dyDescent="0.35">
      <c r="B8" s="79">
        <v>261.85244502618201</v>
      </c>
      <c r="C8" s="3" t="s">
        <v>72</v>
      </c>
      <c r="E8" s="162">
        <v>262</v>
      </c>
      <c r="F8" s="3" t="s">
        <v>218</v>
      </c>
    </row>
    <row r="10" spans="2:17" x14ac:dyDescent="0.35">
      <c r="B10" s="3" t="s">
        <v>215</v>
      </c>
    </row>
    <row r="11" spans="2:17" x14ac:dyDescent="0.35">
      <c r="B11" s="2">
        <v>70</v>
      </c>
      <c r="C11" s="161" t="str">
        <f>"% ja vanhaa "&amp;100-B11&amp;" %."</f>
        <v>% ja vanhaa 30 %.</v>
      </c>
      <c r="E11" s="162">
        <v>70</v>
      </c>
      <c r="F11" s="3" t="s">
        <v>224</v>
      </c>
      <c r="P11" s="130"/>
      <c r="Q11" s="130"/>
    </row>
    <row r="12" spans="2:17" x14ac:dyDescent="0.35">
      <c r="P12" s="130"/>
      <c r="Q12" s="130"/>
    </row>
    <row r="13" spans="2:17" x14ac:dyDescent="0.35">
      <c r="B13" s="3" t="s">
        <v>84</v>
      </c>
      <c r="P13" s="130"/>
      <c r="Q13" s="130"/>
    </row>
    <row r="14" spans="2:17" x14ac:dyDescent="0.35">
      <c r="B14" s="2">
        <v>50</v>
      </c>
      <c r="C14" s="3" t="s">
        <v>219</v>
      </c>
      <c r="E14" s="162">
        <v>50</v>
      </c>
      <c r="F14" s="3" t="s">
        <v>224</v>
      </c>
      <c r="P14" s="130"/>
      <c r="Q14" s="130"/>
    </row>
    <row r="15" spans="2:17" x14ac:dyDescent="0.35">
      <c r="P15" s="130"/>
      <c r="Q15" s="130"/>
    </row>
    <row r="16" spans="2:17" x14ac:dyDescent="0.35">
      <c r="B16" s="3" t="s">
        <v>220</v>
      </c>
      <c r="P16" s="130"/>
      <c r="Q16" s="130"/>
    </row>
    <row r="17" spans="2:17" x14ac:dyDescent="0.35">
      <c r="B17" s="2">
        <v>50</v>
      </c>
      <c r="C17" s="3" t="s">
        <v>221</v>
      </c>
      <c r="E17" s="162">
        <v>50</v>
      </c>
      <c r="F17" s="3" t="s">
        <v>224</v>
      </c>
    </row>
    <row r="18" spans="2:17" x14ac:dyDescent="0.35">
      <c r="P18" s="131"/>
      <c r="Q18" s="131"/>
    </row>
    <row r="19" spans="2:17" x14ac:dyDescent="0.35">
      <c r="B19" s="3" t="s">
        <v>222</v>
      </c>
    </row>
    <row r="20" spans="2:17" x14ac:dyDescent="0.35">
      <c r="B20" s="2">
        <v>30</v>
      </c>
      <c r="C20" s="3" t="s">
        <v>223</v>
      </c>
      <c r="E20" s="162">
        <v>30</v>
      </c>
      <c r="F20" s="3" t="s">
        <v>224</v>
      </c>
    </row>
    <row r="22" spans="2:17" x14ac:dyDescent="0.35">
      <c r="B22" s="3" t="s">
        <v>164</v>
      </c>
    </row>
    <row r="23" spans="2:17" x14ac:dyDescent="0.35">
      <c r="B23" s="8">
        <v>0.37</v>
      </c>
      <c r="C23" s="3" t="s">
        <v>225</v>
      </c>
      <c r="E23" s="163">
        <v>0.37</v>
      </c>
      <c r="F23" s="3" t="s">
        <v>227</v>
      </c>
    </row>
    <row r="25" spans="2:17" x14ac:dyDescent="0.35">
      <c r="B25" s="3" t="s">
        <v>226</v>
      </c>
    </row>
    <row r="26" spans="2:17" x14ac:dyDescent="0.35">
      <c r="B26" s="8">
        <v>0.2</v>
      </c>
      <c r="C26" s="3" t="s">
        <v>225</v>
      </c>
      <c r="E26" s="163">
        <v>0.2</v>
      </c>
      <c r="F26" s="3" t="s">
        <v>228</v>
      </c>
    </row>
    <row r="28" spans="2:17" x14ac:dyDescent="0.35">
      <c r="B28" s="3" t="s">
        <v>229</v>
      </c>
    </row>
    <row r="29" spans="2:17" x14ac:dyDescent="0.35">
      <c r="B29" s="2">
        <v>364</v>
      </c>
      <c r="C29" s="3" t="s">
        <v>230</v>
      </c>
      <c r="E29" s="162">
        <v>364</v>
      </c>
      <c r="F29" s="3" t="s">
        <v>231</v>
      </c>
    </row>
    <row r="31" spans="2:17" x14ac:dyDescent="0.35">
      <c r="B31" s="3" t="s">
        <v>232</v>
      </c>
    </row>
    <row r="32" spans="2:17" x14ac:dyDescent="0.35">
      <c r="B32" s="169">
        <v>1.5599999999999999E-2</v>
      </c>
      <c r="C32" s="3" t="s">
        <v>198</v>
      </c>
      <c r="E32" s="170">
        <v>1.5599999999999999E-2</v>
      </c>
      <c r="F32" s="3" t="s">
        <v>233</v>
      </c>
    </row>
    <row r="34" spans="2:17" x14ac:dyDescent="0.35">
      <c r="B34" s="3" t="s">
        <v>236</v>
      </c>
    </row>
    <row r="35" spans="2:17" x14ac:dyDescent="0.35">
      <c r="B35" s="2">
        <v>5</v>
      </c>
      <c r="C35" s="3" t="s">
        <v>237</v>
      </c>
      <c r="E35" s="162">
        <v>5</v>
      </c>
      <c r="F35" s="3" t="s">
        <v>238</v>
      </c>
    </row>
    <row r="37" spans="2:17" x14ac:dyDescent="0.35">
      <c r="B37" s="3" t="s">
        <v>234</v>
      </c>
    </row>
    <row r="38" spans="2:17" x14ac:dyDescent="0.35">
      <c r="B38" s="2">
        <v>24</v>
      </c>
      <c r="C38" s="3" t="s">
        <v>80</v>
      </c>
      <c r="E38" s="162">
        <v>24</v>
      </c>
      <c r="F38" s="3" t="s">
        <v>235</v>
      </c>
    </row>
    <row r="40" spans="2:17" x14ac:dyDescent="0.35">
      <c r="B40" s="3" t="s">
        <v>45</v>
      </c>
    </row>
    <row r="41" spans="2:17" x14ac:dyDescent="0.35">
      <c r="B41" s="2">
        <v>12</v>
      </c>
      <c r="C41" s="3" t="s">
        <v>80</v>
      </c>
      <c r="E41" s="162">
        <v>12</v>
      </c>
      <c r="F41" s="3" t="s">
        <v>239</v>
      </c>
      <c r="P41" s="130"/>
      <c r="Q41" s="130"/>
    </row>
    <row r="42" spans="2:17" x14ac:dyDescent="0.35">
      <c r="P42" s="130"/>
      <c r="Q42" s="130"/>
    </row>
    <row r="43" spans="2:17" x14ac:dyDescent="0.35">
      <c r="B43" s="3" t="s">
        <v>240</v>
      </c>
      <c r="P43" s="130"/>
      <c r="Q43" s="130"/>
    </row>
    <row r="44" spans="2:17" x14ac:dyDescent="0.35">
      <c r="B44" s="2">
        <v>1.46</v>
      </c>
      <c r="C44" s="3" t="s">
        <v>242</v>
      </c>
      <c r="E44" s="162">
        <v>1.46</v>
      </c>
      <c r="F44" s="3" t="s">
        <v>243</v>
      </c>
      <c r="P44" s="130"/>
      <c r="Q44" s="130"/>
    </row>
    <row r="45" spans="2:17" x14ac:dyDescent="0.35">
      <c r="P45" s="130"/>
      <c r="Q45" s="130"/>
    </row>
    <row r="46" spans="2:17" x14ac:dyDescent="0.35">
      <c r="B46" s="3" t="s">
        <v>241</v>
      </c>
      <c r="P46" s="130"/>
      <c r="Q46" s="130"/>
    </row>
    <row r="47" spans="2:17" x14ac:dyDescent="0.35">
      <c r="B47" s="8">
        <v>0.33499999999999996</v>
      </c>
      <c r="C47" s="3" t="s">
        <v>242</v>
      </c>
      <c r="E47" s="163">
        <v>0.33499999999999996</v>
      </c>
      <c r="F47" s="3" t="s">
        <v>244</v>
      </c>
    </row>
    <row r="49" spans="2:6" x14ac:dyDescent="0.35">
      <c r="B49" s="3" t="s">
        <v>253</v>
      </c>
    </row>
    <row r="50" spans="2:6" x14ac:dyDescent="0.35">
      <c r="B50" s="2">
        <v>-80</v>
      </c>
      <c r="C50" s="3" t="s">
        <v>80</v>
      </c>
      <c r="E50" s="162">
        <v>-80</v>
      </c>
      <c r="F50" s="3" t="s">
        <v>256</v>
      </c>
    </row>
    <row r="52" spans="2:6" x14ac:dyDescent="0.35">
      <c r="B52" s="3" t="s">
        <v>254</v>
      </c>
    </row>
    <row r="53" spans="2:6" x14ac:dyDescent="0.35">
      <c r="B53" s="2">
        <v>10</v>
      </c>
      <c r="C53" s="3" t="s">
        <v>255</v>
      </c>
      <c r="E53" s="162">
        <v>10</v>
      </c>
      <c r="F53" s="3" t="s">
        <v>255</v>
      </c>
    </row>
    <row r="66" spans="16:18" x14ac:dyDescent="0.35">
      <c r="P66" s="130"/>
      <c r="Q66" s="130"/>
    </row>
    <row r="67" spans="16:18" x14ac:dyDescent="0.35">
      <c r="P67" s="130"/>
      <c r="Q67" s="130"/>
    </row>
    <row r="68" spans="16:18" x14ac:dyDescent="0.35">
      <c r="P68" s="130"/>
      <c r="Q68" s="130"/>
    </row>
    <row r="69" spans="16:18" x14ac:dyDescent="0.35">
      <c r="P69" s="130"/>
      <c r="Q69" s="130"/>
    </row>
    <row r="70" spans="16:18" x14ac:dyDescent="0.35">
      <c r="P70" s="130"/>
      <c r="Q70" s="130"/>
    </row>
    <row r="71" spans="16:18" x14ac:dyDescent="0.35">
      <c r="P71" s="130"/>
      <c r="Q71" s="130"/>
    </row>
    <row r="72" spans="16:18" x14ac:dyDescent="0.35">
      <c r="P72" s="130"/>
      <c r="Q72" s="130"/>
      <c r="R72" s="131"/>
    </row>
  </sheetData>
  <protectedRanges>
    <protectedRange sqref="B5 B8 B11 B14 B17 B20 B23 B26 B29 B32 B35 B38 B41 B44 B47 E47 E44 E41 E38 E35 E32 E29 E26 E23 E20 E17 E14 E11 E8 E5 E50 E53 B50 B53" name="Alue1"/>
  </protectedRange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FC273FBDB1AAC448BDBB3CA1302F22C6" ma:contentTypeVersion="3" ma:contentTypeDescription="Luo uusi asiakirja." ma:contentTypeScope="" ma:versionID="3b25b787659ae01c678066d46fcd949b">
  <xsd:schema xmlns:xsd="http://www.w3.org/2001/XMLSchema" xmlns:xs="http://www.w3.org/2001/XMLSchema" xmlns:p="http://schemas.microsoft.com/office/2006/metadata/properties" xmlns:ns2="ebb82943-49da-4504-a2f3-a33fb2eb95f1" targetNamespace="http://schemas.microsoft.com/office/2006/metadata/properties" ma:root="true" ma:fieldsID="643c11cf4c13186185f95add12dbb6b8"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F828A9-F10A-4E85-8886-87443BAB7CC6}">
  <ds:schemaRefs>
    <ds:schemaRef ds:uri="http://schemas.microsoft.com/sharepoint/v3/contenttype/forms"/>
  </ds:schemaRefs>
</ds:datastoreItem>
</file>

<file path=customXml/itemProps2.xml><?xml version="1.0" encoding="utf-8"?>
<ds:datastoreItem xmlns:ds="http://schemas.openxmlformats.org/officeDocument/2006/customXml" ds:itemID="{6481CD46-4EEE-4548-842A-98A06544F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73DC29-7AFB-4D3E-BA95-369718E45AD0}">
  <ds:schemaRefs>
    <ds:schemaRef ds:uri="http://www.w3.org/XML/1998/namespace"/>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ebb82943-49da-4504-a2f3-a33fb2eb95f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Ruoka</vt:lpstr>
      <vt:lpstr>Kuljetukset</vt:lpstr>
      <vt:lpstr>Keittiöt</vt:lpstr>
      <vt:lpstr>Read_me</vt:lpstr>
      <vt:lpstr>Laskuri</vt:lpstr>
      <vt:lpstr>Lähtöoletukset</vt:lpstr>
    </vt:vector>
  </TitlesOfParts>
  <Company>Ympäristöhallinto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Lounasheimo Johannes</dc:creator>
  <cp:lastModifiedBy>Ala-Ketola Ulla</cp:lastModifiedBy>
  <cp:revision/>
  <dcterms:created xsi:type="dcterms:W3CDTF">2018-08-30T09:52:14Z</dcterms:created>
  <dcterms:modified xsi:type="dcterms:W3CDTF">2025-04-30T07:08:26Z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0x010100FC273FBDB1AAC448BDBB3CA1302F22C6</vt:lpwstr>
  </property>
</Properties>
</file>